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." sheetId="1" state="visible" r:id="rId3"/>
    <sheet name="CRONO. FIS-FINAN" sheetId="2" state="visible" r:id="rId4"/>
  </sheets>
  <definedNames>
    <definedName function="false" hidden="false" localSheetId="1" name="_xlnm.Print_Area" vbProcedure="false">'CRONO. FIS-FINAN'!$B$1:$L$51</definedName>
    <definedName function="false" hidden="false" localSheetId="0" name="_xlnm.Print_Area" vbProcedure="false">'ORÇ.'!$B$2:$K$158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<sst xmlns="http://schemas.openxmlformats.org/spreadsheetml/2006/main" count="480" uniqueCount="298">
  <si>
    <t xml:space="preserve">PREFEITURA MUNICIPAL DE ESPÍRITO SANTO DO PINHAL - SP</t>
  </si>
  <si>
    <t xml:space="preserve">PLANILHA ORÇAMENTÁRIA </t>
  </si>
  <si>
    <t xml:space="preserve">AVENIDA WASHINGTON LUÍS, Nº 50 - CENTRO – EDIFÍCIO DO  PAÇO MUNICIPAL </t>
  </si>
  <si>
    <t xml:space="preserve">ESPIRITO SANTO DO PINHAL - SP – CNPJ Nº 45.739.083/0001-73 </t>
  </si>
  <si>
    <t xml:space="preserve">Fonte:</t>
  </si>
  <si>
    <t xml:space="preserve">CDHU 199</t>
  </si>
  <si>
    <t xml:space="preserve">Objeto:</t>
  </si>
  <si>
    <t xml:space="preserve">Projeto de Ampliação em Unidade Básica de Saúde do Município – UBS Vereador Antônio Arquideu Zibordi</t>
  </si>
  <si>
    <t xml:space="preserve">BDI:</t>
  </si>
  <si>
    <t xml:space="preserve">SINAPI – SETEMBRO 2025</t>
  </si>
  <si>
    <t xml:space="preserve">Local:</t>
  </si>
  <si>
    <t xml:space="preserve">Jardim Vitória, Rua Adélia D Arcádia – Espírito Santo do Pinhal – SP</t>
  </si>
  <si>
    <t xml:space="preserve">Atualizado:</t>
  </si>
  <si>
    <t xml:space="preserve">Sem Desoneração</t>
  </si>
  <si>
    <t xml:space="preserve">QUADRO RESUMO DO ORÇAMENTO</t>
  </si>
  <si>
    <t xml:space="preserve">ITEM</t>
  </si>
  <si>
    <t xml:space="preserve">DESCRIÇÃO</t>
  </si>
  <si>
    <t xml:space="preserve">CUSTO TOTAL</t>
  </si>
  <si>
    <t xml:space="preserve">(%) ITENS</t>
  </si>
  <si>
    <t xml:space="preserve">CUSTO TOTAL COM BDI INCLUSO:</t>
  </si>
  <si>
    <t xml:space="preserve">FONTE / CÓDIGO</t>
  </si>
  <si>
    <t xml:space="preserve">UNID</t>
  </si>
  <si>
    <t xml:space="preserve">QUANT</t>
  </si>
  <si>
    <t xml:space="preserve">VALOR UNITÁRIO</t>
  </si>
  <si>
    <t xml:space="preserve">VALOR UNITÁRIO C/ BDI</t>
  </si>
  <si>
    <t xml:space="preserve">SERVIÇOS PRELIMINARES</t>
  </si>
  <si>
    <t xml:space="preserve">SUBTOTAL:</t>
  </si>
  <si>
    <t xml:space="preserve">1.1</t>
  </si>
  <si>
    <t xml:space="preserve">CDHU</t>
  </si>
  <si>
    <t xml:space="preserve">02.10.020</t>
  </si>
  <si>
    <t xml:space="preserve">Locação de obra de edificação</t>
  </si>
  <si>
    <t xml:space="preserve">M2</t>
  </si>
  <si>
    <t xml:space="preserve">1.2</t>
  </si>
  <si>
    <t xml:space="preserve">02.08.020</t>
  </si>
  <si>
    <t xml:space="preserve">Placa de identificação para obra</t>
  </si>
  <si>
    <t xml:space="preserve">1.3</t>
  </si>
  <si>
    <t xml:space="preserve">01.17.061</t>
  </si>
  <si>
    <t xml:space="preserve">Projeto executivo de estrutura em formato A1</t>
  </si>
  <si>
    <t xml:space="preserve">UN</t>
  </si>
  <si>
    <t xml:space="preserve">1.4</t>
  </si>
  <si>
    <t xml:space="preserve">01.17.111</t>
  </si>
  <si>
    <t xml:space="preserve">Projeto executivo de instalações elétricas em formato A1</t>
  </si>
  <si>
    <t xml:space="preserve">1.5</t>
  </si>
  <si>
    <t xml:space="preserve">01.17.081</t>
  </si>
  <si>
    <t xml:space="preserve">Projeto executivo de instalações hidráulicas em formato A1</t>
  </si>
  <si>
    <t xml:space="preserve">1.6</t>
  </si>
  <si>
    <t xml:space="preserve">03.02.040</t>
  </si>
  <si>
    <t xml:space="preserve">Demolição manual de alvenaria de elevação ou elemento vazado, incluindo revestimento</t>
  </si>
  <si>
    <t xml:space="preserve">M3</t>
  </si>
  <si>
    <t xml:space="preserve">1.7</t>
  </si>
  <si>
    <t xml:space="preserve">04.09.020</t>
  </si>
  <si>
    <t xml:space="preserve">Retirada de esquadria metálica em geral</t>
  </si>
  <si>
    <t xml:space="preserve">FUNDAÇÕES</t>
  </si>
  <si>
    <t xml:space="preserve">2.1</t>
  </si>
  <si>
    <t xml:space="preserve">FUNDAÇÕES PROFUNDAS</t>
  </si>
  <si>
    <t xml:space="preserve">2.1.1</t>
  </si>
  <si>
    <t xml:space="preserve">12.01.061</t>
  </si>
  <si>
    <t xml:space="preserve">Broca em concreto armado diâmetro de 30 cm – completa</t>
  </si>
  <si>
    <t xml:space="preserve">M</t>
  </si>
  <si>
    <t xml:space="preserve">2.2</t>
  </si>
  <si>
    <t xml:space="preserve">ALVENARIA DE EMBASAMENTO – FUNDAÇÃO</t>
  </si>
  <si>
    <t xml:space="preserve">2.2.1</t>
  </si>
  <si>
    <t xml:space="preserve">14.01.060</t>
  </si>
  <si>
    <t xml:space="preserve">Alvenaria de embasamento em bloco de concreto de 19 x 19 x 39 cm - classe A </t>
  </si>
  <si>
    <t xml:space="preserve">2.2.2</t>
  </si>
  <si>
    <t xml:space="preserve">32.17.010</t>
  </si>
  <si>
    <t xml:space="preserve">Impermeabilização em argamassa impermeável com aditivo hidrófugo</t>
  </si>
  <si>
    <t xml:space="preserve">2.2.3</t>
  </si>
  <si>
    <t xml:space="preserve">07.02.020</t>
  </si>
  <si>
    <t xml:space="preserve">Escavação mecanizada de valas ou cavas com profundidade de até 2 m</t>
  </si>
  <si>
    <t xml:space="preserve">2.2.4</t>
  </si>
  <si>
    <t xml:space="preserve">06.11.040</t>
  </si>
  <si>
    <t xml:space="preserve">Reaterro manual apiloado sem controle de compactação</t>
  </si>
  <si>
    <t xml:space="preserve">2.3</t>
  </si>
  <si>
    <t xml:space="preserve">INFRAESTRUTURA DE CONCRETO ARMADO</t>
  </si>
  <si>
    <t xml:space="preserve">2.3.1</t>
  </si>
  <si>
    <t xml:space="preserve">11.02.060</t>
  </si>
  <si>
    <t xml:space="preserve">Concreto usinado não estrutural mínimo 300 kg cimento / m³</t>
  </si>
  <si>
    <t xml:space="preserve">2.3.2</t>
  </si>
  <si>
    <t xml:space="preserve">11.16.020</t>
  </si>
  <si>
    <t xml:space="preserve">Lançamento, espalhamento e adensamento de concreto ou massa em lastro e/ou enchimento</t>
  </si>
  <si>
    <t xml:space="preserve">2.3.3</t>
  </si>
  <si>
    <t xml:space="preserve">10.01.060</t>
  </si>
  <si>
    <t xml:space="preserve">Armadura em barra de aço CA-60 (A ou B) fyk = 600 MPa</t>
  </si>
  <si>
    <t xml:space="preserve">KG</t>
  </si>
  <si>
    <t xml:space="preserve">2.3.4</t>
  </si>
  <si>
    <t xml:space="preserve">10.01.040</t>
  </si>
  <si>
    <t xml:space="preserve">Armadura em barra de aço CA-50 (A ou B) fyk = 500 MPa</t>
  </si>
  <si>
    <t xml:space="preserve">ALVENARIA</t>
  </si>
  <si>
    <t xml:space="preserve">3.1</t>
  </si>
  <si>
    <t xml:space="preserve">14.04.210</t>
  </si>
  <si>
    <t xml:space="preserve">Alvenaria de bloco cerâmico de vedação, uso revestido, de 14 cm</t>
  </si>
  <si>
    <t xml:space="preserve">3.2</t>
  </si>
  <si>
    <t xml:space="preserve">14.20.010</t>
  </si>
  <si>
    <t xml:space="preserve">Vergas, contravergas e pilaretes de concreto armado</t>
  </si>
  <si>
    <t xml:space="preserve">ESQUADRIAS</t>
  </si>
  <si>
    <t xml:space="preserve">4.1</t>
  </si>
  <si>
    <t xml:space="preserve">PORTAS EM ALUMÍNIO</t>
  </si>
  <si>
    <t xml:space="preserve">4.1.1</t>
  </si>
  <si>
    <t xml:space="preserve">25.02.310</t>
  </si>
  <si>
    <t xml:space="preserve">Porta de abrir em alumínio tipo lambri, sob medida – cor branca</t>
  </si>
  <si>
    <t xml:space="preserve">4.2</t>
  </si>
  <si>
    <t xml:space="preserve">JANELAS EM ALUMÍNIO</t>
  </si>
  <si>
    <t xml:space="preserve">4.2.1</t>
  </si>
  <si>
    <t xml:space="preserve">25.01.030</t>
  </si>
  <si>
    <t xml:space="preserve">Caixilho em alumínio basculante com vidro, linha comercial</t>
  </si>
  <si>
    <t xml:space="preserve">4.3</t>
  </si>
  <si>
    <t xml:space="preserve">PORTINHOLA DE ALUMÍNIO – ACESSO LATERAL COBERTURA</t>
  </si>
  <si>
    <t xml:space="preserve">4.3.1</t>
  </si>
  <si>
    <t xml:space="preserve">25.02.070</t>
  </si>
  <si>
    <t xml:space="preserve">Portinhola tipo veneziana em alumínio, linha comercial</t>
  </si>
  <si>
    <t xml:space="preserve">SUPERESTRUTURA DE CONCRETO ARMADO</t>
  </si>
  <si>
    <t xml:space="preserve">5.1</t>
  </si>
  <si>
    <t xml:space="preserve">ESTRUTURA DE CONCRETO – PILARES E VIGAS</t>
  </si>
  <si>
    <t xml:space="preserve">5.1.1</t>
  </si>
  <si>
    <t xml:space="preserve">09.02.020</t>
  </si>
  <si>
    <t xml:space="preserve">Forma plana em compensado para estrutura convencional</t>
  </si>
  <si>
    <t xml:space="preserve">5.1.2</t>
  </si>
  <si>
    <t xml:space="preserve">11.01.290</t>
  </si>
  <si>
    <t xml:space="preserve">Concreto usinado, fck = 25 MPa – para bombeamento</t>
  </si>
  <si>
    <t xml:space="preserve">5.1.3</t>
  </si>
  <si>
    <t xml:space="preserve">11.16.080</t>
  </si>
  <si>
    <t xml:space="preserve">Lançamento e adensamento de concreto ou massa por bombeamento</t>
  </si>
  <si>
    <t xml:space="preserve">5.1.4</t>
  </si>
  <si>
    <t xml:space="preserve">5.1.5</t>
  </si>
  <si>
    <t xml:space="preserve">5.2</t>
  </si>
  <si>
    <t xml:space="preserve">LAJE</t>
  </si>
  <si>
    <t xml:space="preserve">5.2.1</t>
  </si>
  <si>
    <t xml:space="preserve">13.01.130</t>
  </si>
  <si>
    <t xml:space="preserve">Laje pré-fabricada mista vigota treliçada/lajota cerâmica - LT 12 (8+4) e capa com concreto de 25 MPa</t>
  </si>
  <si>
    <t xml:space="preserve">5.2.2</t>
  </si>
  <si>
    <t xml:space="preserve">10.02.020</t>
  </si>
  <si>
    <t xml:space="preserve">Armadura em tela soldada de aço</t>
  </si>
  <si>
    <t xml:space="preserve">COBERTURA </t>
  </si>
  <si>
    <t xml:space="preserve">6.1</t>
  </si>
  <si>
    <t xml:space="preserve">TELHAMENTO</t>
  </si>
  <si>
    <t xml:space="preserve">6.1.1</t>
  </si>
  <si>
    <t xml:space="preserve">16.13.130</t>
  </si>
  <si>
    <t xml:space="preserve">Telhamento em chapa de aço com pintura poliéster, tipo sanduíche, espessura de 0,50mm, com poliestireno expandido</t>
  </si>
  <si>
    <t xml:space="preserve">6.1.2</t>
  </si>
  <si>
    <t xml:space="preserve">15.01.330</t>
  </si>
  <si>
    <t xml:space="preserve">Estrutura em terças para telhas perfil trapezoidal</t>
  </si>
  <si>
    <t xml:space="preserve">6.2</t>
  </si>
  <si>
    <t xml:space="preserve">RUFOS</t>
  </si>
  <si>
    <t xml:space="preserve">6.2.1</t>
  </si>
  <si>
    <t xml:space="preserve">16.33.022</t>
  </si>
  <si>
    <t xml:space="preserve">Calha, rufo, afins em chapa galvanizada n° 24 – corte 0,33 m</t>
  </si>
  <si>
    <t xml:space="preserve">6.2.2</t>
  </si>
  <si>
    <t xml:space="preserve">16.33.052</t>
  </si>
  <si>
    <t xml:space="preserve">Calha, rufo, afins em chapa galvanizada n° 24 – corte 0,50 m </t>
  </si>
  <si>
    <t xml:space="preserve">INSTALAÇÕES HIDRÁULICAS</t>
  </si>
  <si>
    <t xml:space="preserve">7.1</t>
  </si>
  <si>
    <t xml:space="preserve">ABASTECIMENTO DE ÁGUA</t>
  </si>
  <si>
    <t xml:space="preserve">7.1.1</t>
  </si>
  <si>
    <t xml:space="preserve">SINAPI</t>
  </si>
  <si>
    <t xml:space="preserve">registro de gaveta bruto, latão, roscável, 3/4", com acabamento e canopla cromados. fornecido e instalado em ramal de água. Af_08/2021</t>
  </si>
  <si>
    <t xml:space="preserve">7.1.2</t>
  </si>
  <si>
    <t xml:space="preserve">kit de registro de gaveta bruto de latão 3/4", inclusive conexões, roscável, instalado em ramal de água fria - fornecimento e instalação. Af_12/2014</t>
  </si>
  <si>
    <t xml:space="preserve">7.2</t>
  </si>
  <si>
    <t xml:space="preserve">ÁGUA FRIA – TUBOS E CONEXÕES</t>
  </si>
  <si>
    <t xml:space="preserve">7.2.1</t>
  </si>
  <si>
    <t xml:space="preserve">46.01.020</t>
  </si>
  <si>
    <t xml:space="preserve">Tubo de PVC rígido soldável marrom, DN= 25 mm, (3/4´), inclusive conexões</t>
  </si>
  <si>
    <t xml:space="preserve">7.3</t>
  </si>
  <si>
    <t xml:space="preserve">ESGOTO – TUBOS E CONEXÕES</t>
  </si>
  <si>
    <t xml:space="preserve">7.3.1</t>
  </si>
  <si>
    <t xml:space="preserve">46.02.050</t>
  </si>
  <si>
    <t xml:space="preserve">Tubo de PVC rígido branco, PxB com virola e anel de borracha, linha esgoto série normal, DN= 50 mm, inclusive conexões </t>
  </si>
  <si>
    <t xml:space="preserve">7.3.2</t>
  </si>
  <si>
    <t xml:space="preserve">46.02.070</t>
  </si>
  <si>
    <t xml:space="preserve">Tubo de PVC rígido branco, PxB com virola e anel de borracha, linha esgoto série normal, DN= 100 mm, inclusive conexões </t>
  </si>
  <si>
    <t xml:space="preserve">7.3.3</t>
  </si>
  <si>
    <t xml:space="preserve">46.02.060</t>
  </si>
  <si>
    <t xml:space="preserve">Tubo de PVC rígido branco, PxB com virola e anel de borracha, linha esgoto série normal, DN= 75 mm, inclusive conexões </t>
  </si>
  <si>
    <t xml:space="preserve">7.3.4</t>
  </si>
  <si>
    <t xml:space="preserve">38.10.030 </t>
  </si>
  <si>
    <t xml:space="preserve">Caixa de derivação ou passagem, para cruzamento de duto, medindo 16 x 25 x 70 mm, com cruzadora </t>
  </si>
  <si>
    <t xml:space="preserve">7.4</t>
  </si>
  <si>
    <t xml:space="preserve">LOUÇAS, METAIS E ACESSÓRIOS</t>
  </si>
  <si>
    <t xml:space="preserve">7.4.1</t>
  </si>
  <si>
    <t xml:space="preserve">44.03.050</t>
  </si>
  <si>
    <t xml:space="preserve">Dispenser papel higiênico em ABS para rolão 300 / 600 m, com visor</t>
  </si>
  <si>
    <t xml:space="preserve">7.4.2</t>
  </si>
  <si>
    <t xml:space="preserve">44.06.400</t>
  </si>
  <si>
    <t xml:space="preserve">Cuba em aço inoxidável simples de 500x400x300mm</t>
  </si>
  <si>
    <t xml:space="preserve">7.4.3</t>
  </si>
  <si>
    <t xml:space="preserve">44.03.645</t>
  </si>
  <si>
    <t xml:space="preserve">Torneira de mesa automática, acionamento hidromecânico, em latão
cromado, DN= 1/2´ou 3/4´</t>
  </si>
  <si>
    <t xml:space="preserve">7.4.4</t>
  </si>
  <si>
    <t xml:space="preserve">sifão do tipo flexível em pvc  - fornecimento e instalação.</t>
  </si>
  <si>
    <t xml:space="preserve">7.4.5</t>
  </si>
  <si>
    <t xml:space="preserve">ralo sifonado, tampa metálica escamoteada, dn 100 x 40 mm, junta soldável, fornecido e instalado em ramal de descarga ou em ramal de esgoto sanitário. af_12/2014</t>
  </si>
  <si>
    <t xml:space="preserve">INSTALAÇÕES ELÉTRICAS </t>
  </si>
  <si>
    <t xml:space="preserve">8.1</t>
  </si>
  <si>
    <t xml:space="preserve">DISTRIBUIÇÃO</t>
  </si>
  <si>
    <t xml:space="preserve">8.1.1</t>
  </si>
  <si>
    <t xml:space="preserve">QUADRO DE DISTRIBUIÇÃO DE ENERGIA EM CHAPA DE AÇO GALVANIZADO, DE EMBUTIR, COM BARRAMENTO TRIFÁSICO, PARA 30 DISJUNTORES DIN 150A - FORNECIMENTO E INSTALAÇÃO. AF_10/2020</t>
  </si>
  <si>
    <t xml:space="preserve">8.1.2</t>
  </si>
  <si>
    <t xml:space="preserve">DISJUNTOR BIPOLAR TIPO DIN, CORRENTE NOMINAL DE 10A - FORNECIMENTO E INSTALAÇÃO. AF_10/2020</t>
  </si>
  <si>
    <t xml:space="preserve">8.1.3</t>
  </si>
  <si>
    <t xml:space="preserve">DISJUNTOR BIPOLAR TIPO DIN, CORRENTE NOMINAL DE 16A - FORNECIMENTO E INSTALAÇÃO. AF_10/2020</t>
  </si>
  <si>
    <t xml:space="preserve">8.1.4</t>
  </si>
  <si>
    <t xml:space="preserve">ELETRODUTO FLEXÍVEL CORRUGADO, PVC, DN 32 MM (1"), PARA CIRCUITOS TERMINAIS, INSTALADO EM PAREDE - FORNECIMENTO E INSTALAÇÃO. AF_12/2015 </t>
  </si>
  <si>
    <t xml:space="preserve">8.1.5</t>
  </si>
  <si>
    <t xml:space="preserve">43.07.330 </t>
  </si>
  <si>
    <t xml:space="preserve">Ar condicionado a frio, tipo split parede com capacidade de 12.000 BTU/h </t>
  </si>
  <si>
    <t xml:space="preserve">CJ</t>
  </si>
  <si>
    <t xml:space="preserve">8.1.6</t>
  </si>
  <si>
    <t xml:space="preserve">43.20.130</t>
  </si>
  <si>
    <t xml:space="preserve">Caixa de passagem para condicionamento de ar tipo Split, com saída
de dreno único na vertical ‐ 39 x 22 x 6 cm</t>
  </si>
  <si>
    <t xml:space="preserve">8.1.7</t>
  </si>
  <si>
    <t xml:space="preserve">40.02.080</t>
  </si>
  <si>
    <t xml:space="preserve">Caixa de passagem em chapa, com tampa parafusada, 300 x 300 x 120
mm</t>
  </si>
  <si>
    <t xml:space="preserve">8.1.8</t>
  </si>
  <si>
    <t xml:space="preserve">cabo de cobre flexível isolado, 1,5 mm², anti-chama 450/750 v, para circuitos terminais - fornecimento e instalação. </t>
  </si>
  <si>
    <t xml:space="preserve">8.1.9</t>
  </si>
  <si>
    <t xml:space="preserve">cabo de cobre flexível isolado, 2,5 mm², anti-chama 450/750 v, para circuitos terminais - fornecimento e instalação. </t>
  </si>
  <si>
    <t xml:space="preserve">8.1.10</t>
  </si>
  <si>
    <t xml:space="preserve">cabo de cobre flexível isolado, 4 mm²,anti-chama 450/750 v , para circuitos terminais - fornecimento e instalação. </t>
  </si>
  <si>
    <t xml:space="preserve">8.2</t>
  </si>
  <si>
    <t xml:space="preserve">PONTOS ELÉTRICOS</t>
  </si>
  <si>
    <t xml:space="preserve">8.2.1</t>
  </si>
  <si>
    <t xml:space="preserve">COMPOSIÇÃO PARAMÉTRICA DE PONTO ELÉTRICO DE ILUMINAÇÃO, COM INTERRUPTOR SIMPLES, EM EDIFÍCIO RESIDENCIAL COM ELETRODUTO EMBUTIDO EM RASGOS NAS PAREDES, INCLUSO TOMADA, ELETRODUTO, CABO, RASGO E CHUMBAMENTO (SEM LUMINÁRIA E LÂMPADA). AF_11/2022</t>
  </si>
  <si>
    <t xml:space="preserve">8.2.2</t>
  </si>
  <si>
    <t xml:space="preserve">LUMINÁRIA TIPO PLAFON CIRCULAR, DE SOBREPOR, COM LED DE 12/13 W - FORNECIMENTO E INSTALAÇÃO. AF_03/2022</t>
  </si>
  <si>
    <t xml:space="preserve">8.3</t>
  </si>
  <si>
    <t xml:space="preserve">TOMADA</t>
  </si>
  <si>
    <t xml:space="preserve">8.3.1</t>
  </si>
  <si>
    <t xml:space="preserve">COMPOSIÇÃO PARAMÉTRICA DE PONTO ELÉTRICO DE TOMADA DE USO GERAL 2P+T (10A/250V) EM EDIFÍCIO RESIDENCIAL COM ELETRODUTO EMBUTIDO EM RASGOS NAS PAREDES, INCLUSO TOMADA, ELETRODUTO, CABO, RASGO, QUEBRA E CHUMBAMENTO. AF_11/2022</t>
  </si>
  <si>
    <t xml:space="preserve">8.3.2</t>
  </si>
  <si>
    <t xml:space="preserve">COMPOSIÇÃO PARAMÉTRICA DE PONTO ELÉTRICO DE TOMADA DE USO ESPECÍFICO 2P+T (20A/250V) EM EDIFÍCIO RESIDENCIAL COM ELETRODUTO EMBUTIDO EM RASGOS NAS PAREDES, INCLUSO TOMADA, ELETRODUTO, CABO, RASGO, QUEBRA E CHUMBAMENTO (EXCETO CHUVEIRO). AF_11/2022</t>
  </si>
  <si>
    <t xml:space="preserve">REVESTIMENTOS</t>
  </si>
  <si>
    <t xml:space="preserve">9.1</t>
  </si>
  <si>
    <t xml:space="preserve">PISO INTERNO</t>
  </si>
  <si>
    <t xml:space="preserve">9.1.1</t>
  </si>
  <si>
    <t xml:space="preserve">11.18.040</t>
  </si>
  <si>
    <t xml:space="preserve">Lastro de pedra britada</t>
  </si>
  <si>
    <t xml:space="preserve">9.1.2</t>
  </si>
  <si>
    <t xml:space="preserve">9.1.3</t>
  </si>
  <si>
    <t xml:space="preserve">9.1.4</t>
  </si>
  <si>
    <t xml:space="preserve">9.1.5</t>
  </si>
  <si>
    <t xml:space="preserve">18.08.090</t>
  </si>
  <si>
    <t xml:space="preserve">Revestimento em porcelanato esmaltado acetinado para área interna e ambiente com acesso ao exterior, grupo de absorção BIa, resistência química B, assentado com argamassa colante industrializada, rejuntado</t>
  </si>
  <si>
    <t xml:space="preserve">9.1.6</t>
  </si>
  <si>
    <t xml:space="preserve">17.01.020</t>
  </si>
  <si>
    <t xml:space="preserve">Argamassa de regularização e/ou proteção</t>
  </si>
  <si>
    <t xml:space="preserve">9.1.7</t>
  </si>
  <si>
    <t xml:space="preserve">18.08.100</t>
  </si>
  <si>
    <t xml:space="preserve">Rodapé em porcelanato esmaltado acetinado para área interna e ambiente com acesso ao exterior, grupo de absorção BIa, resistência química B, assentado com argamassa colante industrializada, rejuntado </t>
  </si>
  <si>
    <t xml:space="preserve">9.2</t>
  </si>
  <si>
    <t xml:space="preserve">PAREDE INTERNA E EXTERNA</t>
  </si>
  <si>
    <t xml:space="preserve">9.2.1</t>
  </si>
  <si>
    <t xml:space="preserve">17.02.020</t>
  </si>
  <si>
    <t xml:space="preserve">Chapisco</t>
  </si>
  <si>
    <t xml:space="preserve">9.2.2</t>
  </si>
  <si>
    <t xml:space="preserve">17.02.120</t>
  </si>
  <si>
    <t xml:space="preserve">Emboço comum</t>
  </si>
  <si>
    <t xml:space="preserve">9.2.3</t>
  </si>
  <si>
    <t xml:space="preserve">17.02.220</t>
  </si>
  <si>
    <t xml:space="preserve">Reboco</t>
  </si>
  <si>
    <t xml:space="preserve">9.3</t>
  </si>
  <si>
    <t xml:space="preserve">TETO</t>
  </si>
  <si>
    <t xml:space="preserve">9.3.1</t>
  </si>
  <si>
    <t xml:space="preserve">9.3.2</t>
  </si>
  <si>
    <t xml:space="preserve">9.3.3</t>
  </si>
  <si>
    <t xml:space="preserve">9.4</t>
  </si>
  <si>
    <t xml:space="preserve">PINTURA INTERNA</t>
  </si>
  <si>
    <t xml:space="preserve">9.4.1</t>
  </si>
  <si>
    <t xml:space="preserve">33.10.020</t>
  </si>
  <si>
    <t xml:space="preserve">Tinta látex em massa, inclusive preparo</t>
  </si>
  <si>
    <t xml:space="preserve">9.5</t>
  </si>
  <si>
    <t xml:space="preserve">PINTURA EXTERNA</t>
  </si>
  <si>
    <t xml:space="preserve">9.5.1</t>
  </si>
  <si>
    <t xml:space="preserve">33.10.050</t>
  </si>
  <si>
    <t xml:space="preserve">Tinta acrílica em massa, inclusive preparo</t>
  </si>
  <si>
    <t xml:space="preserve">9.6</t>
  </si>
  <si>
    <t xml:space="preserve">SOLEIRA</t>
  </si>
  <si>
    <t xml:space="preserve">9.6.1</t>
  </si>
  <si>
    <t xml:space="preserve">19.01.062</t>
  </si>
  <si>
    <t xml:space="preserve">Peitoril e/ou soleira em granito, espessura de 2 cm e largura até 20 cm, acabamento polido</t>
  </si>
  <si>
    <t xml:space="preserve">9.6.2</t>
  </si>
  <si>
    <t xml:space="preserve">44.02.062</t>
  </si>
  <si>
    <t xml:space="preserve">Tampo/bancada em granito, com frontão, espessura de 2 cm, acabamento polido</t>
  </si>
  <si>
    <t xml:space="preserve">LIMPEZA FINAL</t>
  </si>
  <si>
    <t xml:space="preserve">10.1</t>
  </si>
  <si>
    <t xml:space="preserve">55.01.020</t>
  </si>
  <si>
    <t xml:space="preserve">Limpeza final da obra</t>
  </si>
  <si>
    <t xml:space="preserve">Espírito Santo do Pinhal/SP </t>
  </si>
  <si>
    <t xml:space="preserve">Responsável Técnico: Elias Mauch Ferreira</t>
  </si>
  <si>
    <t xml:space="preserve">Eng. Civil – CREA/SP: 5070383571</t>
  </si>
  <si>
    <t xml:space="preserve">CRONOGRAMA FÍSICO-FINANCEIRO</t>
  </si>
  <si>
    <t xml:space="preserve">VALOR</t>
  </si>
  <si>
    <t xml:space="preserve">1° MÊS</t>
  </si>
  <si>
    <t xml:space="preserve">2° MÊS</t>
  </si>
  <si>
    <t xml:space="preserve">3° MÊS</t>
  </si>
  <si>
    <t xml:space="preserve">4° MÊS</t>
  </si>
  <si>
    <t xml:space="preserve">VALOR MENSAL DA OBRA</t>
  </si>
  <si>
    <t xml:space="preserve">VALOR ACUMULADO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</si>
</sst>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&quot;R$ &quot;* #,##0.00_-;&quot;-R$ &quot;* #,##0.00_-;_-&quot;R$ &quot;* \-??_-;_-@_-"/>
    <numFmt numFmtId="166" formatCode="0%"/>
    <numFmt numFmtId="167" formatCode="_-* #,##0.00_-;\-* #,##0.00_-;_-* \-??_-;_-@_-"/>
    <numFmt numFmtId="168" formatCode="_(* #,##0.00_);_(* \(#,##0.00\);_(* \-??_);_(@_)"/>
    <numFmt numFmtId="169" formatCode="0.00%"/>
    <numFmt numFmtId="170" formatCode="d/m/yyyy"/>
    <numFmt numFmtId="171" formatCode="@"/>
    <numFmt numFmtId="172" formatCode="#,##0.00"/>
    <numFmt numFmtId="173" formatCode="[$R$-416]\ #,##0.00;[RED]\-[$R$-416]\ #,##0.00"/>
    <numFmt numFmtId="174" formatCode="0.000%"/>
    <numFmt numFmtId="175" formatCode="0"/>
    <numFmt numFmtId="176" formatCode="0.00"/>
    <numFmt numFmtId="177" formatCode="[$-F800]dddd&quot;, &quot;mmmm\ dd&quot;, &quot;yyyy"/>
    <numFmt numFmtId="178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85"/>
      <color rgb="FF000000"/>
      <name val="Times New Roman"/>
      <family val="1"/>
      <charset val="1"/>
    </font>
    <font>
      <sz val="10"/>
      <color rgb="FF000000"/>
      <name val="MS Sans Serif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9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 val="true"/>
      <sz val="11"/>
      <color theme="1"/>
      <name val="Arial"/>
      <family val="2"/>
      <charset val="1"/>
    </font>
    <font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7998"/>
        <bgColor rgb="FFCCFFFF"/>
      </patternFill>
    </fill>
    <fill>
      <patternFill patternType="solid">
        <fgColor theme="8" tint="0.3998"/>
        <bgColor rgb="FF969696"/>
      </patternFill>
    </fill>
    <fill>
      <patternFill patternType="solid">
        <fgColor theme="0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0" fontId="11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7" fillId="3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7" fillId="3" borderId="1" xfId="22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2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2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3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5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1" fillId="0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1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4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1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5" fillId="2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4" fontId="1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1" fillId="0" borderId="1" xfId="26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1" xfId="26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0" fillId="3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6" fontId="11" fillId="0" borderId="1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11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3" fontId="11" fillId="0" borderId="6" xfId="0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71" fontId="18" fillId="4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6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8" fillId="4" borderId="1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18" fillId="4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8" fillId="4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7" fillId="3" borderId="6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0" fillId="0" borderId="0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77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2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3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2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2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3" xfId="21"/>
    <cellStyle name="Normal 2" xfId="22"/>
    <cellStyle name="Normal 2 2" xfId="23"/>
    <cellStyle name="Normal_Orçam. Padrão PMSP Jul07" xfId="24"/>
    <cellStyle name="Porcentagem 3" xfId="25"/>
    <cellStyle name="Vírgula 2" xfId="26"/>
    <cellStyle name="Vírgula 4" xfId="27"/>
    <cellStyle name="Vírgula 4 2" xfId="28"/>
  </cellStyles>
  <dxfs count="10"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  <dxf>
      <font>
        <b val="1"/>
        <i val="0"/>
      </font>
      <fill>
        <patternFill>
          <bgColor rgb="FFC0C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458640</xdr:colOff>
      <xdr:row>1</xdr:row>
      <xdr:rowOff>66600</xdr:rowOff>
    </xdr:from>
    <xdr:to>
      <xdr:col>3</xdr:col>
      <xdr:colOff>248400</xdr:colOff>
      <xdr:row>4</xdr:row>
      <xdr:rowOff>144000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576000" y="228600"/>
          <a:ext cx="1191240" cy="9918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270720</xdr:colOff>
      <xdr:row>0</xdr:row>
      <xdr:rowOff>18000</xdr:rowOff>
    </xdr:from>
    <xdr:to>
      <xdr:col>3</xdr:col>
      <xdr:colOff>294840</xdr:colOff>
      <xdr:row>3</xdr:row>
      <xdr:rowOff>219240</xdr:rowOff>
    </xdr:to>
    <xdr:pic>
      <xdr:nvPicPr>
        <xdr:cNvPr id="1" name="Imagem 3" descr=""/>
        <xdr:cNvPicPr/>
      </xdr:nvPicPr>
      <xdr:blipFill>
        <a:blip r:embed="rId1"/>
        <a:stretch/>
      </xdr:blipFill>
      <xdr:spPr>
        <a:xfrm>
          <a:off x="388080" y="18000"/>
          <a:ext cx="1191240" cy="991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D116" activeCellId="0" sqref="D116"/>
    </sheetView>
  </sheetViews>
  <sheetFormatPr defaultColWidth="8.66796875" defaultRowHeight="14.2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7"/>
    <col collapsed="false" customWidth="true" hidden="false" outlineLevel="0" max="3" min="3" style="1" width="12.88"/>
    <col collapsed="false" customWidth="true" hidden="false" outlineLevel="0" max="4" min="4" style="1" width="12.56"/>
    <col collapsed="false" customWidth="true" hidden="false" outlineLevel="0" max="5" min="5" style="1" width="67.79"/>
    <col collapsed="false" customWidth="true" hidden="false" outlineLevel="0" max="6" min="6" style="2" width="10.44"/>
    <col collapsed="false" customWidth="true" hidden="false" outlineLevel="0" max="7" min="7" style="1" width="12.44"/>
    <col collapsed="false" customWidth="true" hidden="false" outlineLevel="0" max="8" min="8" style="3" width="14.88"/>
    <col collapsed="false" customWidth="true" hidden="false" outlineLevel="0" max="9" min="9" style="4" width="18.44"/>
    <col collapsed="false" customWidth="true" hidden="false" outlineLevel="0" max="10" min="10" style="3" width="17.11"/>
    <col collapsed="false" customWidth="true" hidden="false" outlineLevel="0" max="11" min="11" style="1" width="9.11"/>
  </cols>
  <sheetData>
    <row r="1" customFormat="false" ht="12.75" hidden="false" customHeight="true" outlineLevel="0" collapsed="false">
      <c r="B1" s="5"/>
      <c r="C1" s="5"/>
      <c r="D1" s="5"/>
      <c r="E1" s="5"/>
      <c r="F1" s="5"/>
      <c r="G1" s="5"/>
      <c r="H1" s="5"/>
      <c r="I1" s="5"/>
      <c r="J1" s="5"/>
    </row>
    <row r="2" customFormat="false" ht="30.75" hidden="false" customHeight="true" outlineLevel="0" collapsed="false">
      <c r="B2" s="6"/>
      <c r="C2" s="6"/>
      <c r="D2" s="6"/>
      <c r="E2" s="7" t="s">
        <v>0</v>
      </c>
      <c r="F2" s="7"/>
      <c r="G2" s="7"/>
      <c r="H2" s="7"/>
      <c r="I2" s="7"/>
      <c r="J2" s="7"/>
      <c r="K2" s="7"/>
    </row>
    <row r="3" customFormat="false" ht="21" hidden="false" customHeight="true" outlineLevel="0" collapsed="false">
      <c r="B3" s="6"/>
      <c r="C3" s="6"/>
      <c r="D3" s="6"/>
      <c r="E3" s="8" t="s">
        <v>1</v>
      </c>
      <c r="F3" s="8"/>
      <c r="G3" s="8"/>
      <c r="H3" s="8"/>
      <c r="I3" s="8"/>
      <c r="J3" s="8"/>
      <c r="K3" s="8"/>
    </row>
    <row r="4" customFormat="false" ht="20.25" hidden="false" customHeight="true" outlineLevel="0" collapsed="false">
      <c r="B4" s="6"/>
      <c r="C4" s="6"/>
      <c r="D4" s="6"/>
      <c r="E4" s="9" t="s">
        <v>2</v>
      </c>
      <c r="F4" s="9"/>
      <c r="G4" s="9"/>
      <c r="H4" s="9"/>
      <c r="I4" s="9"/>
      <c r="J4" s="9"/>
      <c r="K4" s="9"/>
    </row>
    <row r="5" customFormat="false" ht="20.25" hidden="false" customHeight="true" outlineLevel="0" collapsed="false">
      <c r="B5" s="6"/>
      <c r="C5" s="6"/>
      <c r="D5" s="6"/>
      <c r="E5" s="10" t="s">
        <v>3</v>
      </c>
      <c r="F5" s="10"/>
      <c r="G5" s="10"/>
      <c r="H5" s="10"/>
      <c r="I5" s="10"/>
      <c r="J5" s="10"/>
      <c r="K5" s="10"/>
    </row>
    <row r="6" customFormat="false" ht="21.75" hidden="false" customHeight="true" outlineLevel="0" collapsed="false">
      <c r="B6" s="6"/>
      <c r="C6" s="6"/>
      <c r="D6" s="6"/>
      <c r="E6" s="6"/>
      <c r="F6" s="6"/>
      <c r="G6" s="6"/>
      <c r="H6" s="6"/>
      <c r="I6" s="6"/>
      <c r="J6" s="11" t="s">
        <v>4</v>
      </c>
      <c r="K6" s="12" t="s">
        <v>5</v>
      </c>
    </row>
    <row r="7" customFormat="false" ht="27.75" hidden="false" customHeight="true" outlineLevel="0" collapsed="false">
      <c r="B7" s="13" t="s">
        <v>6</v>
      </c>
      <c r="C7" s="13"/>
      <c r="D7" s="14" t="s">
        <v>7</v>
      </c>
      <c r="E7" s="14"/>
      <c r="F7" s="14"/>
      <c r="G7" s="14"/>
      <c r="H7" s="11" t="s">
        <v>8</v>
      </c>
      <c r="I7" s="15" t="n">
        <v>0.2354</v>
      </c>
      <c r="J7" s="11"/>
      <c r="K7" s="16" t="s">
        <v>9</v>
      </c>
    </row>
    <row r="8" customFormat="false" ht="27.75" hidden="false" customHeight="true" outlineLevel="0" collapsed="false">
      <c r="B8" s="13" t="s">
        <v>10</v>
      </c>
      <c r="C8" s="13"/>
      <c r="D8" s="17" t="s">
        <v>11</v>
      </c>
      <c r="E8" s="17"/>
      <c r="F8" s="17"/>
      <c r="G8" s="17"/>
      <c r="H8" s="11" t="s">
        <v>12</v>
      </c>
      <c r="I8" s="18" t="n">
        <f aca="true">TODAY()</f>
        <v>46127</v>
      </c>
      <c r="J8" s="11" t="s">
        <v>13</v>
      </c>
      <c r="K8" s="11"/>
    </row>
    <row r="9" customFormat="false" ht="12" hidden="false" customHeight="true" outlineLevel="0" collapsed="false">
      <c r="B9" s="19"/>
      <c r="C9" s="19"/>
      <c r="D9" s="19"/>
      <c r="E9" s="19"/>
      <c r="F9" s="19"/>
      <c r="G9" s="19"/>
      <c r="H9" s="19"/>
      <c r="I9" s="19"/>
      <c r="J9" s="19"/>
    </row>
    <row r="10" customFormat="false" ht="22.5" hidden="false" customHeight="true" outlineLevel="0" collapsed="false">
      <c r="B10" s="20" t="s">
        <v>14</v>
      </c>
      <c r="C10" s="20"/>
      <c r="D10" s="20"/>
      <c r="E10" s="20"/>
      <c r="F10" s="20"/>
      <c r="G10" s="20"/>
      <c r="H10" s="20"/>
      <c r="I10" s="20"/>
      <c r="J10" s="20"/>
      <c r="K10" s="20"/>
    </row>
    <row r="11" customFormat="false" ht="22.5" hidden="false" customHeight="true" outlineLevel="0" collapsed="false">
      <c r="B11" s="21" t="s">
        <v>15</v>
      </c>
      <c r="C11" s="21"/>
      <c r="D11" s="22" t="s">
        <v>16</v>
      </c>
      <c r="E11" s="22"/>
      <c r="F11" s="22"/>
      <c r="G11" s="22"/>
      <c r="H11" s="22"/>
      <c r="I11" s="23" t="s">
        <v>17</v>
      </c>
      <c r="J11" s="24" t="s">
        <v>18</v>
      </c>
      <c r="K11" s="24"/>
    </row>
    <row r="12" customFormat="false" ht="14.25" hidden="false" customHeight="false" outlineLevel="0" collapsed="false">
      <c r="B12" s="6" t="n">
        <v>1</v>
      </c>
      <c r="C12" s="6"/>
      <c r="D12" s="25" t="str">
        <f aca="false">E25</f>
        <v>SERVIÇOS PRELIMINARES</v>
      </c>
      <c r="E12" s="25"/>
      <c r="F12" s="25"/>
      <c r="G12" s="25"/>
      <c r="H12" s="25"/>
      <c r="I12" s="11" t="n">
        <f aca="false">J25</f>
        <v>17856.08</v>
      </c>
      <c r="J12" s="26" t="n">
        <f aca="false">I12/$I$22</f>
        <v>0.0921516281776906</v>
      </c>
      <c r="K12" s="26"/>
    </row>
    <row r="13" customFormat="false" ht="14.25" hidden="false" customHeight="false" outlineLevel="0" collapsed="false">
      <c r="B13" s="6" t="n">
        <v>2</v>
      </c>
      <c r="C13" s="6"/>
      <c r="D13" s="25" t="str">
        <f aca="false">E33</f>
        <v>FUNDAÇÕES</v>
      </c>
      <c r="E13" s="25"/>
      <c r="F13" s="25"/>
      <c r="G13" s="25"/>
      <c r="H13" s="25"/>
      <c r="I13" s="11" t="n">
        <f aca="false">J33</f>
        <v>14840.24</v>
      </c>
      <c r="J13" s="26" t="n">
        <f aca="false">I13/$I$22</f>
        <v>0.0765874860858426</v>
      </c>
      <c r="K13" s="26"/>
    </row>
    <row r="14" customFormat="false" ht="14.25" hidden="false" customHeight="false" outlineLevel="0" collapsed="false">
      <c r="B14" s="6" t="n">
        <v>3</v>
      </c>
      <c r="C14" s="6"/>
      <c r="D14" s="25" t="str">
        <f aca="false">E46</f>
        <v>ALVENARIA</v>
      </c>
      <c r="E14" s="25"/>
      <c r="F14" s="25"/>
      <c r="G14" s="25"/>
      <c r="H14" s="25"/>
      <c r="I14" s="27" t="n">
        <f aca="false">J46</f>
        <v>16608.36</v>
      </c>
      <c r="J14" s="26" t="n">
        <f aca="false">I14/$I$22</f>
        <v>0.0857123968620901</v>
      </c>
      <c r="K14" s="26"/>
    </row>
    <row r="15" customFormat="false" ht="14.25" hidden="false" customHeight="false" outlineLevel="0" collapsed="false">
      <c r="B15" s="6" t="n">
        <v>4</v>
      </c>
      <c r="C15" s="6"/>
      <c r="D15" s="25" t="str">
        <f aca="false">E49</f>
        <v>ESQUADRIAS</v>
      </c>
      <c r="E15" s="25"/>
      <c r="F15" s="25"/>
      <c r="G15" s="25"/>
      <c r="H15" s="25"/>
      <c r="I15" s="27" t="n">
        <f aca="false">J49</f>
        <v>10325.58</v>
      </c>
      <c r="J15" s="26" t="n">
        <f aca="false">I15/$I$22</f>
        <v>0.0532882362130433</v>
      </c>
      <c r="K15" s="26"/>
    </row>
    <row r="16" customFormat="false" ht="14.25" hidden="false" customHeight="false" outlineLevel="0" collapsed="false">
      <c r="B16" s="6" t="n">
        <v>5</v>
      </c>
      <c r="C16" s="6"/>
      <c r="D16" s="25" t="str">
        <f aca="false">E56</f>
        <v>SUPERESTRUTURA DE CONCRETO ARMADO</v>
      </c>
      <c r="E16" s="25"/>
      <c r="F16" s="25"/>
      <c r="G16" s="25"/>
      <c r="H16" s="25"/>
      <c r="I16" s="27" t="n">
        <f aca="false">J56</f>
        <v>34229.32</v>
      </c>
      <c r="J16" s="26" t="n">
        <f aca="false">I16/$I$22</f>
        <v>0.176650618132042</v>
      </c>
      <c r="K16" s="26"/>
    </row>
    <row r="17" customFormat="false" ht="14.25" hidden="false" customHeight="false" outlineLevel="0" collapsed="false">
      <c r="B17" s="6" t="n">
        <v>6</v>
      </c>
      <c r="C17" s="6"/>
      <c r="D17" s="25" t="str">
        <f aca="false">E66</f>
        <v>COBERTURA </v>
      </c>
      <c r="E17" s="25"/>
      <c r="F17" s="25"/>
      <c r="G17" s="25"/>
      <c r="H17" s="25"/>
      <c r="I17" s="27" t="n">
        <f aca="false">J66</f>
        <v>22705.11</v>
      </c>
      <c r="J17" s="26" t="n">
        <f aca="false">I17/$I$22</f>
        <v>0.117176494194334</v>
      </c>
      <c r="K17" s="26"/>
    </row>
    <row r="18" customFormat="false" ht="14.25" hidden="false" customHeight="false" outlineLevel="0" collapsed="false">
      <c r="B18" s="6" t="n">
        <v>7</v>
      </c>
      <c r="C18" s="6"/>
      <c r="D18" s="25" t="str">
        <f aca="false">E73</f>
        <v>INSTALAÇÕES HIDRÁULICAS</v>
      </c>
      <c r="E18" s="25"/>
      <c r="F18" s="25"/>
      <c r="G18" s="25"/>
      <c r="H18" s="25"/>
      <c r="I18" s="27" t="n">
        <f aca="false">J73</f>
        <v>7270.14</v>
      </c>
      <c r="J18" s="26" t="n">
        <f aca="false">I18/$I$22</f>
        <v>0.037519726506588</v>
      </c>
      <c r="K18" s="26"/>
    </row>
    <row r="19" customFormat="false" ht="14.25" hidden="false" customHeight="false" outlineLevel="0" collapsed="false">
      <c r="B19" s="6" t="n">
        <v>8</v>
      </c>
      <c r="C19" s="6"/>
      <c r="D19" s="25" t="str">
        <f aca="false">E90</f>
        <v>INSTALAÇÕES ELÉTRICAS </v>
      </c>
      <c r="E19" s="25"/>
      <c r="F19" s="25"/>
      <c r="G19" s="25"/>
      <c r="H19" s="25"/>
      <c r="I19" s="27" t="n">
        <f aca="false">J90</f>
        <v>16019.32</v>
      </c>
      <c r="J19" s="26" t="n">
        <f aca="false">I19/$I$22</f>
        <v>0.0826724802027905</v>
      </c>
      <c r="K19" s="26"/>
    </row>
    <row r="20" customFormat="false" ht="14.25" hidden="false" customHeight="false" outlineLevel="0" collapsed="false">
      <c r="B20" s="6" t="n">
        <v>9</v>
      </c>
      <c r="C20" s="6"/>
      <c r="D20" s="25" t="str">
        <f aca="false">E108</f>
        <v>REVESTIMENTOS</v>
      </c>
      <c r="E20" s="25"/>
      <c r="F20" s="25"/>
      <c r="G20" s="25"/>
      <c r="H20" s="25"/>
      <c r="I20" s="27" t="n">
        <f aca="false">J108</f>
        <v>52785.41</v>
      </c>
      <c r="J20" s="26" t="n">
        <f aca="false">I20/$I$22</f>
        <v>0.272414856761784</v>
      </c>
      <c r="K20" s="26"/>
    </row>
    <row r="21" customFormat="false" ht="14.25" hidden="false" customHeight="false" outlineLevel="0" collapsed="false">
      <c r="B21" s="6" t="n">
        <v>10</v>
      </c>
      <c r="C21" s="6"/>
      <c r="D21" s="25" t="str">
        <f aca="false">E132</f>
        <v>LIMPEZA FINAL</v>
      </c>
      <c r="E21" s="25"/>
      <c r="F21" s="25"/>
      <c r="G21" s="25"/>
      <c r="H21" s="25"/>
      <c r="I21" s="27" t="n">
        <f aca="false">J132</f>
        <v>1128.91</v>
      </c>
      <c r="J21" s="26" t="n">
        <f aca="false">I21/$I$22</f>
        <v>0.00582607686379523</v>
      </c>
      <c r="K21" s="26"/>
    </row>
    <row r="22" customFormat="false" ht="17.25" hidden="false" customHeight="true" outlineLevel="0" collapsed="false">
      <c r="B22" s="28" t="s">
        <v>19</v>
      </c>
      <c r="C22" s="28"/>
      <c r="D22" s="28"/>
      <c r="E22" s="28"/>
      <c r="F22" s="28"/>
      <c r="G22" s="28"/>
      <c r="H22" s="28"/>
      <c r="I22" s="29" t="n">
        <f aca="false">SUBTOTAL(9,I12:I21)</f>
        <v>193768.47</v>
      </c>
      <c r="J22" s="30" t="n">
        <f aca="false">SUM(J12:K21)</f>
        <v>1</v>
      </c>
      <c r="K22" s="30"/>
    </row>
    <row r="23" customFormat="false" ht="15" hidden="false" customHeight="true" outlineLevel="0" collapsed="false">
      <c r="B23" s="19"/>
      <c r="C23" s="19"/>
      <c r="D23" s="19"/>
      <c r="E23" s="19"/>
      <c r="F23" s="19"/>
      <c r="G23" s="19"/>
      <c r="H23" s="19"/>
      <c r="I23" s="19"/>
      <c r="J23" s="19"/>
      <c r="K23" s="19"/>
      <c r="O23" s="31"/>
    </row>
    <row r="24" customFormat="false" ht="21.75" hidden="false" customHeight="true" outlineLevel="0" collapsed="false">
      <c r="B24" s="32" t="s">
        <v>15</v>
      </c>
      <c r="C24" s="32" t="s">
        <v>20</v>
      </c>
      <c r="D24" s="32"/>
      <c r="E24" s="33" t="s">
        <v>16</v>
      </c>
      <c r="F24" s="33" t="s">
        <v>21</v>
      </c>
      <c r="G24" s="34" t="s">
        <v>22</v>
      </c>
      <c r="H24" s="35" t="s">
        <v>23</v>
      </c>
      <c r="I24" s="35" t="s">
        <v>24</v>
      </c>
      <c r="J24" s="35" t="s">
        <v>17</v>
      </c>
      <c r="K24" s="34" t="s">
        <v>18</v>
      </c>
    </row>
    <row r="25" customFormat="false" ht="21.85" hidden="false" customHeight="true" outlineLevel="0" collapsed="false">
      <c r="B25" s="36" t="n">
        <v>1</v>
      </c>
      <c r="C25" s="36"/>
      <c r="D25" s="36"/>
      <c r="E25" s="37" t="s">
        <v>25</v>
      </c>
      <c r="F25" s="37"/>
      <c r="G25" s="37"/>
      <c r="H25" s="37"/>
      <c r="I25" s="38" t="s">
        <v>26</v>
      </c>
      <c r="J25" s="39" t="n">
        <f aca="false">SUBTOTAL(9,J26:J32)</f>
        <v>17856.08</v>
      </c>
      <c r="K25" s="40" t="n">
        <f aca="false">J25/$I$22</f>
        <v>0.0921516281776906</v>
      </c>
    </row>
    <row r="26" customFormat="false" ht="14.25" hidden="false" customHeight="false" outlineLevel="0" collapsed="false">
      <c r="A26" s="2"/>
      <c r="B26" s="41" t="s">
        <v>27</v>
      </c>
      <c r="C26" s="42" t="s">
        <v>28</v>
      </c>
      <c r="D26" s="43" t="s">
        <v>29</v>
      </c>
      <c r="E26" s="44" t="s">
        <v>30</v>
      </c>
      <c r="F26" s="45" t="s">
        <v>31</v>
      </c>
      <c r="G26" s="46" t="n">
        <v>57.48</v>
      </c>
      <c r="H26" s="47" t="n">
        <v>18.03</v>
      </c>
      <c r="I26" s="48" t="n">
        <f aca="false">ROUND(H26*(100%+$I$7),2)</f>
        <v>22.27</v>
      </c>
      <c r="J26" s="48" t="n">
        <f aca="false">ROUND(I26*G26,2)</f>
        <v>1280.08</v>
      </c>
      <c r="K26" s="49" t="n">
        <f aca="false">J26/$I$22</f>
        <v>0.00660623475016343</v>
      </c>
      <c r="L26" s="2"/>
      <c r="M26" s="2"/>
      <c r="N26" s="2"/>
      <c r="O26" s="2"/>
    </row>
    <row r="27" customFormat="false" ht="14.25" hidden="false" customHeight="false" outlineLevel="0" collapsed="false">
      <c r="A27" s="2"/>
      <c r="B27" s="41" t="s">
        <v>32</v>
      </c>
      <c r="C27" s="42" t="s">
        <v>28</v>
      </c>
      <c r="D27" s="43" t="s">
        <v>33</v>
      </c>
      <c r="E27" s="50" t="s">
        <v>34</v>
      </c>
      <c r="F27" s="45" t="s">
        <v>31</v>
      </c>
      <c r="G27" s="46" t="n">
        <f aca="false">2*3</f>
        <v>6</v>
      </c>
      <c r="H27" s="48" t="n">
        <v>904.29</v>
      </c>
      <c r="I27" s="48" t="n">
        <f aca="false">ROUND(H27*(100%+$I$7),2)</f>
        <v>1117.16</v>
      </c>
      <c r="J27" s="48" t="n">
        <f aca="false">ROUND(I27*G27,2)</f>
        <v>6702.96</v>
      </c>
      <c r="K27" s="49" t="n">
        <f aca="false">J27/$I$22</f>
        <v>0.0345926248991903</v>
      </c>
      <c r="L27" s="2"/>
      <c r="M27" s="2"/>
      <c r="N27" s="2"/>
      <c r="O27" s="2"/>
    </row>
    <row r="28" customFormat="false" ht="14.25" hidden="false" customHeight="false" outlineLevel="0" collapsed="false">
      <c r="A28" s="2"/>
      <c r="B28" s="41" t="s">
        <v>35</v>
      </c>
      <c r="C28" s="42" t="s">
        <v>28</v>
      </c>
      <c r="D28" s="43" t="s">
        <v>36</v>
      </c>
      <c r="E28" s="50" t="s">
        <v>37</v>
      </c>
      <c r="F28" s="45" t="s">
        <v>38</v>
      </c>
      <c r="G28" s="46" t="n">
        <v>2</v>
      </c>
      <c r="H28" s="48" t="n">
        <v>2658.26</v>
      </c>
      <c r="I28" s="48" t="n">
        <f aca="false">ROUND(H28*(100%+$I$7),2)</f>
        <v>3284.01</v>
      </c>
      <c r="J28" s="48" t="n">
        <f aca="false">ROUND(I28*G28,2)</f>
        <v>6568.02</v>
      </c>
      <c r="K28" s="49" t="n">
        <f aca="false">J28/$I$22</f>
        <v>0.0338962267700209</v>
      </c>
      <c r="L28" s="2"/>
      <c r="M28" s="2"/>
      <c r="N28" s="2"/>
      <c r="O28" s="2"/>
    </row>
    <row r="29" customFormat="false" ht="14.25" hidden="false" customHeight="false" outlineLevel="0" collapsed="false">
      <c r="A29" s="2"/>
      <c r="B29" s="41" t="s">
        <v>39</v>
      </c>
      <c r="C29" s="42" t="s">
        <v>28</v>
      </c>
      <c r="D29" s="43" t="s">
        <v>40</v>
      </c>
      <c r="E29" s="50" t="s">
        <v>41</v>
      </c>
      <c r="F29" s="45" t="s">
        <v>38</v>
      </c>
      <c r="G29" s="46" t="n">
        <v>1</v>
      </c>
      <c r="H29" s="48" t="n">
        <v>1267.26</v>
      </c>
      <c r="I29" s="48" t="n">
        <f aca="false">ROUND(H29*(100%+$I$7),2)</f>
        <v>1565.57</v>
      </c>
      <c r="J29" s="48" t="n">
        <f aca="false">ROUND(I29*G29,2)</f>
        <v>1565.57</v>
      </c>
      <c r="K29" s="49" t="n">
        <f aca="false">J29/$I$22</f>
        <v>0.00807959107072477</v>
      </c>
      <c r="L29" s="2"/>
      <c r="M29" s="2"/>
      <c r="N29" s="2"/>
      <c r="O29" s="2"/>
    </row>
    <row r="30" customFormat="false" ht="14.25" hidden="false" customHeight="false" outlineLevel="0" collapsed="false">
      <c r="A30" s="2"/>
      <c r="B30" s="41" t="s">
        <v>42</v>
      </c>
      <c r="C30" s="42" t="s">
        <v>28</v>
      </c>
      <c r="D30" s="43" t="s">
        <v>43</v>
      </c>
      <c r="E30" s="50" t="s">
        <v>44</v>
      </c>
      <c r="F30" s="45" t="s">
        <v>38</v>
      </c>
      <c r="G30" s="46" t="n">
        <v>1</v>
      </c>
      <c r="H30" s="48" t="n">
        <v>1141.18</v>
      </c>
      <c r="I30" s="48" t="n">
        <f aca="false">ROUND(H30*(100%+$I$7),2)</f>
        <v>1409.81</v>
      </c>
      <c r="J30" s="48" t="n">
        <f aca="false">ROUND(I30*G30,2)</f>
        <v>1409.81</v>
      </c>
      <c r="K30" s="49" t="n">
        <f aca="false">J30/$I$22</f>
        <v>0.00727574511993618</v>
      </c>
      <c r="L30" s="2"/>
      <c r="M30" s="2"/>
      <c r="N30" s="2"/>
      <c r="O30" s="2"/>
    </row>
    <row r="31" customFormat="false" ht="14.25" hidden="false" customHeight="false" outlineLevel="0" collapsed="false">
      <c r="A31" s="2"/>
      <c r="B31" s="41" t="s">
        <v>45</v>
      </c>
      <c r="C31" s="51" t="s">
        <v>28</v>
      </c>
      <c r="D31" s="52" t="s">
        <v>46</v>
      </c>
      <c r="E31" s="53" t="s">
        <v>47</v>
      </c>
      <c r="F31" s="54" t="s">
        <v>48</v>
      </c>
      <c r="G31" s="55" t="n">
        <f aca="false">2*0.15*3</f>
        <v>0.9</v>
      </c>
      <c r="H31" s="56" t="n">
        <v>90.84</v>
      </c>
      <c r="I31" s="48" t="n">
        <f aca="false">ROUND(H31*(100%+$I$7),2)</f>
        <v>112.22</v>
      </c>
      <c r="J31" s="57" t="n">
        <f aca="false">ROUND(I31*G31,2)</f>
        <v>101</v>
      </c>
      <c r="K31" s="49" t="n">
        <f aca="false">J31/$I$22</f>
        <v>0.000521240633215507</v>
      </c>
      <c r="L31" s="2"/>
      <c r="M31" s="2"/>
      <c r="N31" s="2"/>
      <c r="O31" s="2"/>
    </row>
    <row r="32" customFormat="false" ht="14.25" hidden="false" customHeight="false" outlineLevel="0" collapsed="false">
      <c r="A32" s="2"/>
      <c r="B32" s="41" t="s">
        <v>49</v>
      </c>
      <c r="C32" s="51" t="s">
        <v>28</v>
      </c>
      <c r="D32" s="52" t="s">
        <v>50</v>
      </c>
      <c r="E32" s="53" t="s">
        <v>51</v>
      </c>
      <c r="F32" s="54" t="s">
        <v>31</v>
      </c>
      <c r="G32" s="55" t="n">
        <f aca="false">2.5*2.1</f>
        <v>5.25</v>
      </c>
      <c r="H32" s="56" t="n">
        <v>35.25</v>
      </c>
      <c r="I32" s="48" t="n">
        <f aca="false">ROUND(H32*(100%+$I$7),2)</f>
        <v>43.55</v>
      </c>
      <c r="J32" s="57" t="n">
        <f aca="false">ROUND(I32*G32,2)</f>
        <v>228.64</v>
      </c>
      <c r="K32" s="49" t="n">
        <f aca="false">J32/$I$22</f>
        <v>0.00117996493443954</v>
      </c>
      <c r="L32" s="2"/>
      <c r="M32" s="2"/>
      <c r="N32" s="2"/>
      <c r="O32" s="2"/>
    </row>
    <row r="33" customFormat="false" ht="21.85" hidden="false" customHeight="true" outlineLevel="0" collapsed="false">
      <c r="B33" s="36" t="n">
        <v>2</v>
      </c>
      <c r="C33" s="36"/>
      <c r="D33" s="36"/>
      <c r="E33" s="37" t="s">
        <v>52</v>
      </c>
      <c r="F33" s="37"/>
      <c r="G33" s="37"/>
      <c r="H33" s="37"/>
      <c r="I33" s="38" t="s">
        <v>26</v>
      </c>
      <c r="J33" s="39" t="n">
        <f aca="false">SUBTOTAL(9,J34:J45)</f>
        <v>14840.24</v>
      </c>
      <c r="K33" s="40" t="n">
        <f aca="false">J33/I22</f>
        <v>0.0765874860858426</v>
      </c>
    </row>
    <row r="34" customFormat="false" ht="14.25" hidden="false" customHeight="true" outlineLevel="0" collapsed="false">
      <c r="B34" s="58" t="s">
        <v>53</v>
      </c>
      <c r="C34" s="58"/>
      <c r="D34" s="58"/>
      <c r="E34" s="59" t="s">
        <v>54</v>
      </c>
      <c r="F34" s="59"/>
      <c r="G34" s="59"/>
      <c r="H34" s="59"/>
      <c r="I34" s="59"/>
      <c r="J34" s="60" t="n">
        <f aca="false">SUBTOTAL(9,J35:J35)</f>
        <v>6902.7</v>
      </c>
      <c r="K34" s="61" t="n">
        <f aca="false">J34/$I$22</f>
        <v>0.0356234427613533</v>
      </c>
    </row>
    <row r="35" customFormat="false" ht="14.25" hidden="false" customHeight="false" outlineLevel="0" collapsed="false">
      <c r="B35" s="62" t="s">
        <v>55</v>
      </c>
      <c r="C35" s="51" t="s">
        <v>28</v>
      </c>
      <c r="D35" s="43" t="s">
        <v>56</v>
      </c>
      <c r="E35" s="50" t="s">
        <v>57</v>
      </c>
      <c r="F35" s="45" t="s">
        <v>58</v>
      </c>
      <c r="G35" s="46" t="n">
        <f aca="false">14*3</f>
        <v>42</v>
      </c>
      <c r="H35" s="48" t="n">
        <v>133.03</v>
      </c>
      <c r="I35" s="48" t="n">
        <f aca="false">ROUND(H35*(100%+$I$7),2)</f>
        <v>164.35</v>
      </c>
      <c r="J35" s="48" t="n">
        <f aca="false">ROUND(I35*G35,2)</f>
        <v>6902.7</v>
      </c>
      <c r="K35" s="49" t="n">
        <f aca="false">J35/$I$22</f>
        <v>0.0356234427613533</v>
      </c>
    </row>
    <row r="36" customFormat="false" ht="14.25" hidden="false" customHeight="true" outlineLevel="0" collapsed="false">
      <c r="B36" s="58" t="s">
        <v>59</v>
      </c>
      <c r="C36" s="58"/>
      <c r="D36" s="58"/>
      <c r="E36" s="59" t="s">
        <v>60</v>
      </c>
      <c r="F36" s="59"/>
      <c r="G36" s="59"/>
      <c r="H36" s="59"/>
      <c r="I36" s="59"/>
      <c r="J36" s="60" t="n">
        <f aca="false">SUBTOTAL(9,J37:J40)</f>
        <v>1995.96</v>
      </c>
      <c r="K36" s="61" t="n">
        <f aca="false">J36/$I$22</f>
        <v>0.0103007470720082</v>
      </c>
    </row>
    <row r="37" customFormat="false" ht="14.25" hidden="false" customHeight="false" outlineLevel="0" collapsed="false">
      <c r="B37" s="62" t="s">
        <v>61</v>
      </c>
      <c r="C37" s="51" t="s">
        <v>28</v>
      </c>
      <c r="D37" s="43" t="s">
        <v>62</v>
      </c>
      <c r="E37" s="50" t="s">
        <v>63</v>
      </c>
      <c r="F37" s="45" t="s">
        <v>31</v>
      </c>
      <c r="G37" s="46" t="n">
        <f aca="false">31.24*0.2</f>
        <v>6.248</v>
      </c>
      <c r="H37" s="48" t="n">
        <v>143.52</v>
      </c>
      <c r="I37" s="48" t="n">
        <f aca="false">ROUND(H37*(100%+$I$7),2)</f>
        <v>177.3</v>
      </c>
      <c r="J37" s="48" t="n">
        <f aca="false">ROUND(I37*G37,2)</f>
        <v>1107.77</v>
      </c>
      <c r="K37" s="49" t="n">
        <f aca="false">J37/$I$22</f>
        <v>0.00571697758670438</v>
      </c>
    </row>
    <row r="38" customFormat="false" ht="14.25" hidden="false" customHeight="false" outlineLevel="0" collapsed="false">
      <c r="B38" s="62" t="s">
        <v>64</v>
      </c>
      <c r="C38" s="51" t="s">
        <v>28</v>
      </c>
      <c r="D38" s="43" t="s">
        <v>65</v>
      </c>
      <c r="E38" s="50" t="s">
        <v>66</v>
      </c>
      <c r="F38" s="45" t="s">
        <v>48</v>
      </c>
      <c r="G38" s="46" t="n">
        <f aca="false">31.24*0.6*0.02</f>
        <v>0.37488</v>
      </c>
      <c r="H38" s="48" t="n">
        <v>868.08</v>
      </c>
      <c r="I38" s="48" t="n">
        <f aca="false">ROUND(H38*(100%+$I$7),2)</f>
        <v>1072.43</v>
      </c>
      <c r="J38" s="48" t="n">
        <f aca="false">ROUND(I38*G38,2)</f>
        <v>402.03</v>
      </c>
      <c r="K38" s="49" t="n">
        <f aca="false">J38/$I$22</f>
        <v>0.00207479576011515</v>
      </c>
    </row>
    <row r="39" customFormat="false" ht="14.25" hidden="false" customHeight="false" outlineLevel="0" collapsed="false">
      <c r="B39" s="62" t="s">
        <v>67</v>
      </c>
      <c r="C39" s="51" t="s">
        <v>28</v>
      </c>
      <c r="D39" s="43" t="s">
        <v>68</v>
      </c>
      <c r="E39" s="50" t="s">
        <v>69</v>
      </c>
      <c r="F39" s="45" t="s">
        <v>48</v>
      </c>
      <c r="G39" s="46" t="n">
        <f aca="false">G37*2</f>
        <v>12.496</v>
      </c>
      <c r="H39" s="48" t="n">
        <v>12</v>
      </c>
      <c r="I39" s="48" t="n">
        <f aca="false">ROUND(H39*(100%+$I$7),2)</f>
        <v>14.82</v>
      </c>
      <c r="J39" s="48" t="n">
        <f aca="false">ROUND(I39*G39,2)</f>
        <v>185.19</v>
      </c>
      <c r="K39" s="49" t="n">
        <f aca="false">J39/$I$22</f>
        <v>0.000955728246189899</v>
      </c>
    </row>
    <row r="40" customFormat="false" ht="14.25" hidden="false" customHeight="false" outlineLevel="0" collapsed="false">
      <c r="B40" s="62" t="s">
        <v>70</v>
      </c>
      <c r="C40" s="51" t="s">
        <v>28</v>
      </c>
      <c r="D40" s="43" t="s">
        <v>71</v>
      </c>
      <c r="E40" s="50" t="s">
        <v>72</v>
      </c>
      <c r="F40" s="45" t="s">
        <v>48</v>
      </c>
      <c r="G40" s="46" t="n">
        <f aca="false">G26*0.2</f>
        <v>11.496</v>
      </c>
      <c r="H40" s="48" t="n">
        <v>21.19</v>
      </c>
      <c r="I40" s="48" t="n">
        <f aca="false">ROUND(H40*(100%+$I$7),2)</f>
        <v>26.18</v>
      </c>
      <c r="J40" s="48" t="n">
        <f aca="false">ROUND(I40*G40,2)</f>
        <v>300.97</v>
      </c>
      <c r="K40" s="49" t="n">
        <f aca="false">J40/$I$22</f>
        <v>0.00155324547899872</v>
      </c>
    </row>
    <row r="41" customFormat="false" ht="14.25" hidden="false" customHeight="true" outlineLevel="0" collapsed="false">
      <c r="B41" s="58" t="s">
        <v>73</v>
      </c>
      <c r="C41" s="58"/>
      <c r="D41" s="58"/>
      <c r="E41" s="59" t="s">
        <v>74</v>
      </c>
      <c r="F41" s="59"/>
      <c r="G41" s="59"/>
      <c r="H41" s="59"/>
      <c r="I41" s="59"/>
      <c r="J41" s="60" t="n">
        <f aca="false">SUBTOTAL(9,J42:J45)</f>
        <v>5941.58</v>
      </c>
      <c r="K41" s="61" t="n">
        <f aca="false">J41/$I$22</f>
        <v>0.0306632962524811</v>
      </c>
    </row>
    <row r="42" customFormat="false" ht="14.25" hidden="false" customHeight="false" outlineLevel="0" collapsed="false">
      <c r="B42" s="62" t="s">
        <v>75</v>
      </c>
      <c r="C42" s="51" t="s">
        <v>28</v>
      </c>
      <c r="D42" s="43" t="s">
        <v>76</v>
      </c>
      <c r="E42" s="50" t="s">
        <v>77</v>
      </c>
      <c r="F42" s="45" t="s">
        <v>48</v>
      </c>
      <c r="G42" s="46" t="n">
        <f aca="false">(6*0.4)+(0.2*0.3*31.24)</f>
        <v>4.2744</v>
      </c>
      <c r="H42" s="48" t="n">
        <v>606.18</v>
      </c>
      <c r="I42" s="48" t="n">
        <f aca="false">ROUND(H42*(100%+$I$7),2)</f>
        <v>748.87</v>
      </c>
      <c r="J42" s="48" t="n">
        <f aca="false">ROUND(I42*G42,2)</f>
        <v>3200.97</v>
      </c>
      <c r="K42" s="49" t="n">
        <f aca="false">J42/$I$22</f>
        <v>0.016519560690137</v>
      </c>
    </row>
    <row r="43" customFormat="false" ht="21.85" hidden="false" customHeight="false" outlineLevel="0" collapsed="false">
      <c r="B43" s="62" t="s">
        <v>78</v>
      </c>
      <c r="C43" s="51" t="s">
        <v>28</v>
      </c>
      <c r="D43" s="43" t="s">
        <v>79</v>
      </c>
      <c r="E43" s="63" t="s">
        <v>80</v>
      </c>
      <c r="F43" s="45" t="s">
        <v>48</v>
      </c>
      <c r="G43" s="64" t="n">
        <f aca="false">(6*0.4)+(0.2*0.3*31.24)</f>
        <v>4.2744</v>
      </c>
      <c r="H43" s="65" t="n">
        <v>95.77</v>
      </c>
      <c r="I43" s="48" t="n">
        <f aca="false">ROUND(H43*(100%+$I$7),2)</f>
        <v>118.31</v>
      </c>
      <c r="J43" s="48" t="n">
        <f aca="false">ROUND(I43*G43,2)</f>
        <v>505.7</v>
      </c>
      <c r="K43" s="49" t="n">
        <f aca="false">J43/$I$22</f>
        <v>0.0026098157249216</v>
      </c>
    </row>
    <row r="44" customFormat="false" ht="14.25" hidden="false" customHeight="false" outlineLevel="0" collapsed="false">
      <c r="B44" s="62" t="s">
        <v>81</v>
      </c>
      <c r="C44" s="51" t="s">
        <v>28</v>
      </c>
      <c r="D44" s="43" t="s">
        <v>82</v>
      </c>
      <c r="E44" s="50" t="s">
        <v>83</v>
      </c>
      <c r="F44" s="45" t="s">
        <v>84</v>
      </c>
      <c r="G44" s="46" t="n">
        <f aca="false">31.24/0.2*0.9*0.154*1.1</f>
        <v>23.814252</v>
      </c>
      <c r="H44" s="48" t="n">
        <v>10.51</v>
      </c>
      <c r="I44" s="48" t="n">
        <f aca="false">ROUND(H44*(100%+$I$7),2)</f>
        <v>12.98</v>
      </c>
      <c r="J44" s="48" t="n">
        <f aca="false">ROUND(I44*G44,2)</f>
        <v>309.11</v>
      </c>
      <c r="K44" s="49" t="n">
        <f aca="false">J44/$I$22</f>
        <v>0.00159525437755689</v>
      </c>
    </row>
    <row r="45" customFormat="false" ht="14.25" hidden="false" customHeight="false" outlineLevel="0" collapsed="false">
      <c r="B45" s="62" t="s">
        <v>85</v>
      </c>
      <c r="C45" s="51" t="s">
        <v>28</v>
      </c>
      <c r="D45" s="43" t="s">
        <v>86</v>
      </c>
      <c r="E45" s="50" t="s">
        <v>87</v>
      </c>
      <c r="F45" s="45" t="s">
        <v>84</v>
      </c>
      <c r="G45" s="46" t="n">
        <f aca="false">(31.24*4*0.617*1.1)+68.64</f>
        <v>153.450352</v>
      </c>
      <c r="H45" s="48" t="n">
        <v>10.16</v>
      </c>
      <c r="I45" s="48" t="n">
        <f aca="false">ROUND(H45*(100%+$I$7),2)</f>
        <v>12.55</v>
      </c>
      <c r="J45" s="48" t="n">
        <f aca="false">ROUND(I45*G45,2)</f>
        <v>1925.8</v>
      </c>
      <c r="K45" s="49" t="n">
        <f aca="false">J45/$I$22</f>
        <v>0.00993866545986558</v>
      </c>
    </row>
    <row r="46" customFormat="false" ht="21.85" hidden="false" customHeight="true" outlineLevel="0" collapsed="false">
      <c r="B46" s="36" t="n">
        <v>3</v>
      </c>
      <c r="C46" s="36"/>
      <c r="D46" s="36"/>
      <c r="E46" s="37" t="s">
        <v>88</v>
      </c>
      <c r="F46" s="37"/>
      <c r="G46" s="37"/>
      <c r="H46" s="37"/>
      <c r="I46" s="38" t="s">
        <v>26</v>
      </c>
      <c r="J46" s="39" t="n">
        <f aca="false">SUBTOTAL(9,J47:J48)</f>
        <v>16608.36</v>
      </c>
      <c r="K46" s="40" t="n">
        <f aca="false">J46/I22</f>
        <v>0.0857123968620901</v>
      </c>
      <c r="L46" s="66"/>
    </row>
    <row r="47" customFormat="false" ht="14.25" hidden="false" customHeight="false" outlineLevel="0" collapsed="false">
      <c r="B47" s="62" t="s">
        <v>89</v>
      </c>
      <c r="C47" s="51" t="s">
        <v>28</v>
      </c>
      <c r="D47" s="43" t="s">
        <v>90</v>
      </c>
      <c r="E47" s="50" t="s">
        <v>91</v>
      </c>
      <c r="F47" s="45" t="s">
        <v>31</v>
      </c>
      <c r="G47" s="46" t="n">
        <f aca="false">(5.77+9.55+5.65+2.5+3+2.62+1.1+1.05)*4</f>
        <v>124.96</v>
      </c>
      <c r="H47" s="48" t="n">
        <v>87.01</v>
      </c>
      <c r="I47" s="48" t="n">
        <f aca="false">ROUND(H47*(100%+$I$7),2)</f>
        <v>107.49</v>
      </c>
      <c r="J47" s="48" t="n">
        <f aca="false">ROUND(I47*G47,2)</f>
        <v>13431.95</v>
      </c>
      <c r="K47" s="49" t="n">
        <f aca="false">J47/$I$22</f>
        <v>0.0693195853793964</v>
      </c>
    </row>
    <row r="48" customFormat="false" ht="14.25" hidden="false" customHeight="false" outlineLevel="0" collapsed="false">
      <c r="B48" s="62" t="s">
        <v>92</v>
      </c>
      <c r="C48" s="51" t="s">
        <v>28</v>
      </c>
      <c r="D48" s="43" t="s">
        <v>93</v>
      </c>
      <c r="E48" s="50" t="s">
        <v>94</v>
      </c>
      <c r="F48" s="45" t="s">
        <v>48</v>
      </c>
      <c r="G48" s="46" t="n">
        <f aca="false">((2.62+2.5+5.77+5.65)*0.15*0.19)+(31.24*0.15*0.19)</f>
        <v>1.36173</v>
      </c>
      <c r="H48" s="48" t="n">
        <v>1888.16</v>
      </c>
      <c r="I48" s="48" t="n">
        <f aca="false">ROUND(H48*(100%+$I$7),2)</f>
        <v>2332.63</v>
      </c>
      <c r="J48" s="48" t="n">
        <f aca="false">ROUND(I48*G48,2)</f>
        <v>3176.41</v>
      </c>
      <c r="K48" s="49" t="n">
        <f aca="false">J48/$I$22</f>
        <v>0.0163928114826938</v>
      </c>
    </row>
    <row r="49" customFormat="false" ht="21.85" hidden="false" customHeight="true" outlineLevel="0" collapsed="false">
      <c r="B49" s="36" t="n">
        <v>4</v>
      </c>
      <c r="C49" s="36"/>
      <c r="D49" s="36"/>
      <c r="E49" s="37" t="s">
        <v>95</v>
      </c>
      <c r="F49" s="37"/>
      <c r="G49" s="37"/>
      <c r="H49" s="37"/>
      <c r="I49" s="38" t="s">
        <v>26</v>
      </c>
      <c r="J49" s="39" t="n">
        <f aca="false">SUBTOTAL(9,J50:J55)</f>
        <v>10325.58</v>
      </c>
      <c r="K49" s="40" t="n">
        <f aca="false">J49/I22</f>
        <v>0.0532882362130433</v>
      </c>
    </row>
    <row r="50" customFormat="false" ht="14.25" hidden="false" customHeight="true" outlineLevel="0" collapsed="false">
      <c r="B50" s="58" t="s">
        <v>96</v>
      </c>
      <c r="C50" s="58"/>
      <c r="D50" s="58"/>
      <c r="E50" s="59" t="s">
        <v>97</v>
      </c>
      <c r="F50" s="59"/>
      <c r="G50" s="59"/>
      <c r="H50" s="59"/>
      <c r="I50" s="59"/>
      <c r="J50" s="60" t="n">
        <f aca="false">SUBTOTAL(9,J51:J51)</f>
        <v>6936.41</v>
      </c>
      <c r="K50" s="61" t="n">
        <f aca="false">J50/$I$22</f>
        <v>0.0357974132736869</v>
      </c>
    </row>
    <row r="51" customFormat="false" ht="14.25" hidden="false" customHeight="false" outlineLevel="0" collapsed="false">
      <c r="B51" s="62" t="s">
        <v>98</v>
      </c>
      <c r="C51" s="51" t="s">
        <v>28</v>
      </c>
      <c r="D51" s="52" t="s">
        <v>99</v>
      </c>
      <c r="E51" s="67" t="s">
        <v>100</v>
      </c>
      <c r="F51" s="62" t="s">
        <v>31</v>
      </c>
      <c r="G51" s="46" t="n">
        <f aca="false">2.1*0.9*2</f>
        <v>3.78</v>
      </c>
      <c r="H51" s="48" t="n">
        <v>1485.37</v>
      </c>
      <c r="I51" s="48" t="n">
        <f aca="false">ROUND(H51*(100%+$I$7),2)</f>
        <v>1835.03</v>
      </c>
      <c r="J51" s="48" t="n">
        <f aca="false">ROUND(I51*G51,2)</f>
        <v>6936.41</v>
      </c>
      <c r="K51" s="49" t="n">
        <f aca="false">J51/$I$22</f>
        <v>0.0357974132736869</v>
      </c>
    </row>
    <row r="52" customFormat="false" ht="14.25" hidden="false" customHeight="true" outlineLevel="0" collapsed="false">
      <c r="B52" s="58" t="s">
        <v>101</v>
      </c>
      <c r="C52" s="58"/>
      <c r="D52" s="58"/>
      <c r="E52" s="59" t="s">
        <v>102</v>
      </c>
      <c r="F52" s="59"/>
      <c r="G52" s="59"/>
      <c r="H52" s="59"/>
      <c r="I52" s="59"/>
      <c r="J52" s="60" t="n">
        <f aca="false">SUBTOTAL(9,J53)</f>
        <v>3100.27</v>
      </c>
      <c r="K52" s="61" t="n">
        <f aca="false">J52/$I$22</f>
        <v>0.0159998682964261</v>
      </c>
    </row>
    <row r="53" customFormat="false" ht="14.25" hidden="false" customHeight="false" outlineLevel="0" collapsed="false">
      <c r="B53" s="62" t="s">
        <v>103</v>
      </c>
      <c r="C53" s="52" t="s">
        <v>28</v>
      </c>
      <c r="D53" s="52" t="s">
        <v>104</v>
      </c>
      <c r="E53" s="67" t="s">
        <v>105</v>
      </c>
      <c r="F53" s="62" t="s">
        <v>31</v>
      </c>
      <c r="G53" s="46" t="n">
        <f aca="false">2*0.7*4</f>
        <v>5.6</v>
      </c>
      <c r="H53" s="48" t="n">
        <v>448.13</v>
      </c>
      <c r="I53" s="48" t="n">
        <f aca="false">ROUND(H53*(100%+$I$7),2)</f>
        <v>553.62</v>
      </c>
      <c r="J53" s="48" t="n">
        <f aca="false">ROUND(I53*G53,2)</f>
        <v>3100.27</v>
      </c>
      <c r="K53" s="49" t="n">
        <f aca="false">J53/$I$22</f>
        <v>0.0159998682964261</v>
      </c>
    </row>
    <row r="54" customFormat="false" ht="14.25" hidden="false" customHeight="true" outlineLevel="0" collapsed="false">
      <c r="B54" s="58" t="s">
        <v>106</v>
      </c>
      <c r="C54" s="58"/>
      <c r="D54" s="58"/>
      <c r="E54" s="59" t="s">
        <v>107</v>
      </c>
      <c r="F54" s="59"/>
      <c r="G54" s="59"/>
      <c r="H54" s="59"/>
      <c r="I54" s="59"/>
      <c r="J54" s="60" t="n">
        <f aca="false">SUBTOTAL(9,J55)</f>
        <v>288.9</v>
      </c>
      <c r="K54" s="61" t="n">
        <f aca="false">J54/$I$22</f>
        <v>0.0014909546429303</v>
      </c>
    </row>
    <row r="55" customFormat="false" ht="14.25" hidden="false" customHeight="false" outlineLevel="0" collapsed="false">
      <c r="B55" s="62" t="s">
        <v>108</v>
      </c>
      <c r="C55" s="51" t="s">
        <v>28</v>
      </c>
      <c r="D55" s="52" t="s">
        <v>109</v>
      </c>
      <c r="E55" s="67" t="s">
        <v>110</v>
      </c>
      <c r="F55" s="68" t="s">
        <v>31</v>
      </c>
      <c r="G55" s="46" t="n">
        <v>0.36</v>
      </c>
      <c r="H55" s="48" t="n">
        <v>649.58</v>
      </c>
      <c r="I55" s="48" t="n">
        <f aca="false">ROUND(H55*(100%+$I$7),2)</f>
        <v>802.49</v>
      </c>
      <c r="J55" s="48" t="n">
        <f aca="false">ROUND(I55*G55,2)</f>
        <v>288.9</v>
      </c>
      <c r="K55" s="49" t="n">
        <f aca="false">J55/$I$22</f>
        <v>0.0014909546429303</v>
      </c>
    </row>
    <row r="56" customFormat="false" ht="21.85" hidden="false" customHeight="true" outlineLevel="0" collapsed="false">
      <c r="B56" s="36" t="n">
        <v>5</v>
      </c>
      <c r="C56" s="36"/>
      <c r="D56" s="36"/>
      <c r="E56" s="37" t="s">
        <v>111</v>
      </c>
      <c r="F56" s="37"/>
      <c r="G56" s="37"/>
      <c r="H56" s="37"/>
      <c r="I56" s="38" t="s">
        <v>26</v>
      </c>
      <c r="J56" s="39" t="n">
        <f aca="false">SUBTOTAL(9,J57:J65)</f>
        <v>34229.32</v>
      </c>
      <c r="K56" s="40" t="n">
        <f aca="false">J56/I22</f>
        <v>0.176650618132042</v>
      </c>
    </row>
    <row r="57" customFormat="false" ht="14.25" hidden="false" customHeight="true" outlineLevel="0" collapsed="false">
      <c r="B57" s="58" t="s">
        <v>112</v>
      </c>
      <c r="C57" s="58"/>
      <c r="D57" s="58"/>
      <c r="E57" s="59" t="s">
        <v>113</v>
      </c>
      <c r="F57" s="59"/>
      <c r="G57" s="59"/>
      <c r="H57" s="59"/>
      <c r="I57" s="59"/>
      <c r="J57" s="60" t="n">
        <f aca="false">SUBTOTAL(9,J58:J62)</f>
        <v>21536.03</v>
      </c>
      <c r="K57" s="61" t="n">
        <f aca="false">J57/$I$22</f>
        <v>0.111143108060873</v>
      </c>
    </row>
    <row r="58" customFormat="false" ht="14.25" hidden="false" customHeight="false" outlineLevel="0" collapsed="false">
      <c r="B58" s="62" t="s">
        <v>114</v>
      </c>
      <c r="C58" s="51" t="s">
        <v>28</v>
      </c>
      <c r="D58" s="52" t="s">
        <v>115</v>
      </c>
      <c r="E58" s="67" t="s">
        <v>116</v>
      </c>
      <c r="F58" s="68" t="s">
        <v>31</v>
      </c>
      <c r="G58" s="46" t="n">
        <f aca="false">(4*14*0.3*2)+(31.24*0.3*2)</f>
        <v>52.344</v>
      </c>
      <c r="H58" s="48" t="n">
        <v>202.59</v>
      </c>
      <c r="I58" s="48" t="n">
        <f aca="false">ROUND(H58*(100%+$I$7),2)</f>
        <v>250.28</v>
      </c>
      <c r="J58" s="48" t="n">
        <f aca="false">ROUND(I58*G58,2)</f>
        <v>13100.66</v>
      </c>
      <c r="K58" s="49" t="n">
        <f aca="false">J58/$I$22</f>
        <v>0.067609864494466</v>
      </c>
    </row>
    <row r="59" customFormat="false" ht="14.25" hidden="false" customHeight="false" outlineLevel="0" collapsed="false">
      <c r="B59" s="62" t="s">
        <v>117</v>
      </c>
      <c r="C59" s="51" t="s">
        <v>28</v>
      </c>
      <c r="D59" s="52" t="s">
        <v>118</v>
      </c>
      <c r="E59" s="67" t="s">
        <v>119</v>
      </c>
      <c r="F59" s="68" t="s">
        <v>48</v>
      </c>
      <c r="G59" s="46" t="n">
        <f aca="false">(4*14*0.15*0.27)+(31.24*0.15*0.3)</f>
        <v>3.6738</v>
      </c>
      <c r="H59" s="48" t="n">
        <v>568.59</v>
      </c>
      <c r="I59" s="48" t="n">
        <f aca="false">ROUND(H59*(100%+$I$7),2)</f>
        <v>702.44</v>
      </c>
      <c r="J59" s="48" t="n">
        <f aca="false">ROUND(I59*G59,2)</f>
        <v>2580.62</v>
      </c>
      <c r="K59" s="49" t="n">
        <f aca="false">J59/$I$22</f>
        <v>0.0133180594345406</v>
      </c>
    </row>
    <row r="60" customFormat="false" ht="14.25" hidden="false" customHeight="false" outlineLevel="0" collapsed="false">
      <c r="B60" s="62" t="s">
        <v>120</v>
      </c>
      <c r="C60" s="51" t="s">
        <v>28</v>
      </c>
      <c r="D60" s="52" t="s">
        <v>121</v>
      </c>
      <c r="E60" s="67" t="s">
        <v>122</v>
      </c>
      <c r="F60" s="68" t="s">
        <v>48</v>
      </c>
      <c r="G60" s="46" t="n">
        <f aca="false">(4*14*0.15*0.27)+(31.24*0.15*0.3)</f>
        <v>3.6738</v>
      </c>
      <c r="H60" s="48" t="n">
        <v>134.91</v>
      </c>
      <c r="I60" s="48" t="n">
        <f aca="false">ROUND(H60*(100%+$I$7),2)</f>
        <v>166.67</v>
      </c>
      <c r="J60" s="48" t="n">
        <f aca="false">ROUND(I60*G60,2)</f>
        <v>612.31</v>
      </c>
      <c r="K60" s="49" t="n">
        <f aca="false">J60/$I$22</f>
        <v>0.00316000843687314</v>
      </c>
    </row>
    <row r="61" customFormat="false" ht="14.25" hidden="false" customHeight="false" outlineLevel="0" collapsed="false">
      <c r="B61" s="62" t="s">
        <v>123</v>
      </c>
      <c r="C61" s="51" t="s">
        <v>28</v>
      </c>
      <c r="D61" s="52" t="s">
        <v>86</v>
      </c>
      <c r="E61" s="67" t="s">
        <v>87</v>
      </c>
      <c r="F61" s="68" t="s">
        <v>84</v>
      </c>
      <c r="G61" s="46" t="n">
        <f aca="false">(119.24*4*0.617*1.1)</f>
        <v>323.712752</v>
      </c>
      <c r="H61" s="48" t="n">
        <v>10.16</v>
      </c>
      <c r="I61" s="48" t="n">
        <f aca="false">ROUND(H61*(100%+$I$7),2)</f>
        <v>12.55</v>
      </c>
      <c r="J61" s="48" t="n">
        <f aca="false">ROUND(I61*G61,2)</f>
        <v>4062.6</v>
      </c>
      <c r="K61" s="49" t="n">
        <f aca="false">J61/$I$22</f>
        <v>0.0209662593713002</v>
      </c>
    </row>
    <row r="62" customFormat="false" ht="14.25" hidden="false" customHeight="false" outlineLevel="0" collapsed="false">
      <c r="B62" s="62" t="s">
        <v>124</v>
      </c>
      <c r="C62" s="51" t="s">
        <v>28</v>
      </c>
      <c r="D62" s="52" t="s">
        <v>82</v>
      </c>
      <c r="E62" s="67" t="s">
        <v>83</v>
      </c>
      <c r="F62" s="68" t="s">
        <v>84</v>
      </c>
      <c r="G62" s="46" t="n">
        <f aca="false">119.24/0.2*0.9*0.154*1.1</f>
        <v>90.896652</v>
      </c>
      <c r="H62" s="48" t="n">
        <v>10.51</v>
      </c>
      <c r="I62" s="48" t="n">
        <f aca="false">ROUND(H62*(100%+$I$7),2)</f>
        <v>12.98</v>
      </c>
      <c r="J62" s="48" t="n">
        <f aca="false">ROUND(I62*G62,2)</f>
        <v>1179.84</v>
      </c>
      <c r="K62" s="49" t="n">
        <f aca="false">J62/$I$22</f>
        <v>0.00608891632369291</v>
      </c>
    </row>
    <row r="63" customFormat="false" ht="14.25" hidden="false" customHeight="true" outlineLevel="0" collapsed="false">
      <c r="B63" s="58" t="s">
        <v>125</v>
      </c>
      <c r="C63" s="58"/>
      <c r="D63" s="58"/>
      <c r="E63" s="59" t="s">
        <v>126</v>
      </c>
      <c r="F63" s="59"/>
      <c r="G63" s="59"/>
      <c r="H63" s="59"/>
      <c r="I63" s="59"/>
      <c r="J63" s="60" t="n">
        <f aca="false">SUBTOTAL(9,J64:J65)</f>
        <v>12693.29</v>
      </c>
      <c r="K63" s="61" t="n">
        <f aca="false">J63/$I$22</f>
        <v>0.065507510071169</v>
      </c>
    </row>
    <row r="64" customFormat="false" ht="21.85" hidden="false" customHeight="false" outlineLevel="0" collapsed="false">
      <c r="B64" s="62" t="s">
        <v>127</v>
      </c>
      <c r="C64" s="51" t="s">
        <v>28</v>
      </c>
      <c r="D64" s="52" t="s">
        <v>128</v>
      </c>
      <c r="E64" s="53" t="s">
        <v>129</v>
      </c>
      <c r="F64" s="68" t="s">
        <v>31</v>
      </c>
      <c r="G64" s="46" t="n">
        <v>57.48</v>
      </c>
      <c r="H64" s="48" t="n">
        <v>158.13</v>
      </c>
      <c r="I64" s="48" t="n">
        <f aca="false">ROUND(H64*(100%+$I$7),2)</f>
        <v>195.35</v>
      </c>
      <c r="J64" s="48" t="n">
        <f aca="false">ROUND(I64*G64,2)</f>
        <v>11228.72</v>
      </c>
      <c r="K64" s="49" t="n">
        <f aca="false">J64/$I$22</f>
        <v>0.0579491596336597</v>
      </c>
    </row>
    <row r="65" customFormat="false" ht="14.25" hidden="false" customHeight="false" outlineLevel="0" collapsed="false">
      <c r="B65" s="62" t="s">
        <v>130</v>
      </c>
      <c r="C65" s="51" t="s">
        <v>28</v>
      </c>
      <c r="D65" s="52" t="s">
        <v>131</v>
      </c>
      <c r="E65" s="67" t="s">
        <v>132</v>
      </c>
      <c r="F65" s="68" t="s">
        <v>84</v>
      </c>
      <c r="G65" s="46" t="n">
        <f aca="false">13*8.92</f>
        <v>115.96</v>
      </c>
      <c r="H65" s="48" t="n">
        <v>10.22</v>
      </c>
      <c r="I65" s="48" t="n">
        <f aca="false">ROUND(H65*(100%+$I$7),2)</f>
        <v>12.63</v>
      </c>
      <c r="J65" s="48" t="n">
        <f aca="false">ROUND(I65*G65,2)</f>
        <v>1464.57</v>
      </c>
      <c r="K65" s="49" t="n">
        <f aca="false">J65/$I$22</f>
        <v>0.00755835043750926</v>
      </c>
    </row>
    <row r="66" customFormat="false" ht="21.85" hidden="false" customHeight="true" outlineLevel="0" collapsed="false">
      <c r="B66" s="36" t="n">
        <v>6</v>
      </c>
      <c r="C66" s="36"/>
      <c r="D66" s="36"/>
      <c r="E66" s="37" t="s">
        <v>133</v>
      </c>
      <c r="F66" s="37"/>
      <c r="G66" s="37"/>
      <c r="H66" s="37"/>
      <c r="I66" s="69" t="s">
        <v>26</v>
      </c>
      <c r="J66" s="70" t="n">
        <f aca="false">SUBTOTAL(9,J67:J72)</f>
        <v>22705.11</v>
      </c>
      <c r="K66" s="40" t="n">
        <f aca="false">J66/$I$22</f>
        <v>0.117176494194334</v>
      </c>
    </row>
    <row r="67" customFormat="false" ht="14.25" hidden="false" customHeight="true" outlineLevel="0" collapsed="false">
      <c r="B67" s="58" t="s">
        <v>134</v>
      </c>
      <c r="C67" s="58"/>
      <c r="D67" s="58"/>
      <c r="E67" s="59" t="s">
        <v>135</v>
      </c>
      <c r="F67" s="59"/>
      <c r="G67" s="59"/>
      <c r="H67" s="59"/>
      <c r="I67" s="59"/>
      <c r="J67" s="60" t="n">
        <f aca="false">SUBTOTAL(9,J68:J69)</f>
        <v>12205.3</v>
      </c>
      <c r="K67" s="61" t="n">
        <f aca="false">J67/$I$22</f>
        <v>0.0629890920850023</v>
      </c>
    </row>
    <row r="68" customFormat="false" ht="21.85" hidden="false" customHeight="false" outlineLevel="0" collapsed="false">
      <c r="B68" s="62" t="s">
        <v>136</v>
      </c>
      <c r="C68" s="43" t="s">
        <v>28</v>
      </c>
      <c r="D68" s="43" t="s">
        <v>137</v>
      </c>
      <c r="E68" s="71" t="s">
        <v>138</v>
      </c>
      <c r="F68" s="54" t="s">
        <v>31</v>
      </c>
      <c r="G68" s="55" t="n">
        <v>57.48</v>
      </c>
      <c r="H68" s="48" t="n">
        <v>149.21</v>
      </c>
      <c r="I68" s="48" t="n">
        <f aca="false">ROUND(H68*(100%+$I$7),2)</f>
        <v>184.33</v>
      </c>
      <c r="J68" s="48" t="n">
        <f aca="false">ROUND(I68*G68,2)</f>
        <v>10595.29</v>
      </c>
      <c r="K68" s="49" t="n">
        <f aca="false">J68/$I$22</f>
        <v>0.0546801551356627</v>
      </c>
    </row>
    <row r="69" customFormat="false" ht="14.25" hidden="false" customHeight="false" outlineLevel="0" collapsed="false">
      <c r="B69" s="62" t="s">
        <v>139</v>
      </c>
      <c r="C69" s="43" t="s">
        <v>28</v>
      </c>
      <c r="D69" s="43" t="s">
        <v>140</v>
      </c>
      <c r="E69" s="71" t="s">
        <v>141</v>
      </c>
      <c r="F69" s="54" t="s">
        <v>31</v>
      </c>
      <c r="G69" s="55" t="n">
        <v>57.48</v>
      </c>
      <c r="H69" s="72" t="n">
        <v>22.67</v>
      </c>
      <c r="I69" s="48" t="n">
        <f aca="false">ROUND(H69*(100%+$I$7),2)</f>
        <v>28.01</v>
      </c>
      <c r="J69" s="48" t="n">
        <f aca="false">ROUND(I69*G69,2)</f>
        <v>1610.01</v>
      </c>
      <c r="K69" s="49" t="n">
        <f aca="false">J69/$I$22</f>
        <v>0.00830893694933959</v>
      </c>
    </row>
    <row r="70" customFormat="false" ht="14.25" hidden="false" customHeight="true" outlineLevel="0" collapsed="false">
      <c r="B70" s="58" t="s">
        <v>142</v>
      </c>
      <c r="C70" s="58"/>
      <c r="D70" s="58"/>
      <c r="E70" s="59" t="s">
        <v>143</v>
      </c>
      <c r="F70" s="59"/>
      <c r="G70" s="59"/>
      <c r="H70" s="59"/>
      <c r="I70" s="59"/>
      <c r="J70" s="60" t="n">
        <f aca="false">SUBTOTAL(9,J71:J72)</f>
        <v>10499.81</v>
      </c>
      <c r="K70" s="61" t="n">
        <f aca="false">J70/$I$22</f>
        <v>0.0541874021093318</v>
      </c>
    </row>
    <row r="71" customFormat="false" ht="14.25" hidden="false" customHeight="false" outlineLevel="0" collapsed="false">
      <c r="B71" s="62" t="s">
        <v>144</v>
      </c>
      <c r="C71" s="43" t="s">
        <v>28</v>
      </c>
      <c r="D71" s="43" t="s">
        <v>145</v>
      </c>
      <c r="E71" s="73" t="s">
        <v>146</v>
      </c>
      <c r="F71" s="54" t="s">
        <v>58</v>
      </c>
      <c r="G71" s="55" t="n">
        <f aca="false">4.55+5.5+3.45+1.1+1.05+4.55+5.62+3.5+3.73+4+G72</f>
        <v>52.05</v>
      </c>
      <c r="H71" s="48" t="n">
        <v>117.45</v>
      </c>
      <c r="I71" s="48" t="n">
        <f aca="false">ROUND(H71*(100%+$I$7),2)</f>
        <v>145.1</v>
      </c>
      <c r="J71" s="48" t="n">
        <f aca="false">ROUND(I71*G71,2)</f>
        <v>7552.46</v>
      </c>
      <c r="K71" s="49" t="n">
        <f aca="false">J71/$I$22</f>
        <v>0.0389767230963841</v>
      </c>
    </row>
    <row r="72" customFormat="false" ht="14.25" hidden="false" customHeight="false" outlineLevel="0" collapsed="false">
      <c r="B72" s="62" t="s">
        <v>147</v>
      </c>
      <c r="C72" s="43" t="s">
        <v>28</v>
      </c>
      <c r="D72" s="43" t="s">
        <v>148</v>
      </c>
      <c r="E72" s="73" t="s">
        <v>149</v>
      </c>
      <c r="F72" s="54" t="s">
        <v>58</v>
      </c>
      <c r="G72" s="55" t="n">
        <f aca="false">5.77+5.5+3.73</f>
        <v>15</v>
      </c>
      <c r="H72" s="48" t="n">
        <v>159.05</v>
      </c>
      <c r="I72" s="48" t="n">
        <f aca="false">ROUND(H72*(100%+$I$7),2)</f>
        <v>196.49</v>
      </c>
      <c r="J72" s="48" t="n">
        <f aca="false">ROUND(I72*G72,2)</f>
        <v>2947.35</v>
      </c>
      <c r="K72" s="49" t="n">
        <f aca="false">J72/$I$22</f>
        <v>0.0152106790129478</v>
      </c>
    </row>
    <row r="73" customFormat="false" ht="21.85" hidden="false" customHeight="true" outlineLevel="0" collapsed="false">
      <c r="B73" s="36" t="n">
        <v>7</v>
      </c>
      <c r="C73" s="36"/>
      <c r="D73" s="36"/>
      <c r="E73" s="37" t="s">
        <v>150</v>
      </c>
      <c r="F73" s="37"/>
      <c r="G73" s="37"/>
      <c r="H73" s="37"/>
      <c r="I73" s="69" t="s">
        <v>26</v>
      </c>
      <c r="J73" s="70" t="n">
        <f aca="false">SUBTOTAL(9,J74:J89)</f>
        <v>7270.14</v>
      </c>
      <c r="K73" s="40" t="n">
        <f aca="false">J73/$I$22</f>
        <v>0.037519726506588</v>
      </c>
    </row>
    <row r="74" customFormat="false" ht="14.25" hidden="false" customHeight="true" outlineLevel="0" collapsed="false">
      <c r="B74" s="58" t="s">
        <v>151</v>
      </c>
      <c r="C74" s="58"/>
      <c r="D74" s="58"/>
      <c r="E74" s="59" t="s">
        <v>152</v>
      </c>
      <c r="F74" s="59"/>
      <c r="G74" s="59"/>
      <c r="H74" s="59"/>
      <c r="I74" s="59"/>
      <c r="J74" s="60" t="n">
        <f aca="false">SUBTOTAL(9,J75:J76)</f>
        <v>312.4</v>
      </c>
      <c r="K74" s="61" t="n">
        <f aca="false">J74/$I$22</f>
        <v>0.001612233404124</v>
      </c>
    </row>
    <row r="75" customFormat="false" ht="21.85" hidden="false" customHeight="false" outlineLevel="0" collapsed="false">
      <c r="B75" s="62" t="s">
        <v>153</v>
      </c>
      <c r="C75" s="51" t="s">
        <v>154</v>
      </c>
      <c r="D75" s="52" t="n">
        <v>89987</v>
      </c>
      <c r="E75" s="53" t="s">
        <v>155</v>
      </c>
      <c r="F75" s="74" t="s">
        <v>38</v>
      </c>
      <c r="G75" s="55" t="n">
        <v>2</v>
      </c>
      <c r="H75" s="48" t="n">
        <v>75.26</v>
      </c>
      <c r="I75" s="48" t="n">
        <f aca="false">ROUND(H75*(100%+$I$7),2)</f>
        <v>92.98</v>
      </c>
      <c r="J75" s="48" t="n">
        <f aca="false">ROUND(I75*G75,2)</f>
        <v>185.96</v>
      </c>
      <c r="K75" s="49" t="n">
        <f aca="false">J75/$I$22</f>
        <v>0.000959702060918373</v>
      </c>
    </row>
    <row r="76" customFormat="false" ht="21.85" hidden="false" customHeight="false" outlineLevel="0" collapsed="false">
      <c r="B76" s="62" t="s">
        <v>156</v>
      </c>
      <c r="C76" s="51" t="s">
        <v>154</v>
      </c>
      <c r="D76" s="52" t="n">
        <v>89972</v>
      </c>
      <c r="E76" s="53" t="s">
        <v>157</v>
      </c>
      <c r="F76" s="74" t="s">
        <v>38</v>
      </c>
      <c r="G76" s="55" t="n">
        <v>2</v>
      </c>
      <c r="H76" s="48" t="n">
        <v>51.17</v>
      </c>
      <c r="I76" s="48" t="n">
        <f aca="false">ROUND(H76*(100%+$I$7),2)</f>
        <v>63.22</v>
      </c>
      <c r="J76" s="48" t="n">
        <f aca="false">ROUND(I76*G76,2)</f>
        <v>126.44</v>
      </c>
      <c r="K76" s="49" t="n">
        <f aca="false">J76/$I$22</f>
        <v>0.000652531343205631</v>
      </c>
    </row>
    <row r="77" customFormat="false" ht="14.25" hidden="false" customHeight="true" outlineLevel="0" collapsed="false">
      <c r="B77" s="58" t="s">
        <v>158</v>
      </c>
      <c r="C77" s="58"/>
      <c r="D77" s="58"/>
      <c r="E77" s="59" t="s">
        <v>159</v>
      </c>
      <c r="F77" s="59"/>
      <c r="G77" s="59"/>
      <c r="H77" s="59"/>
      <c r="I77" s="59"/>
      <c r="J77" s="60" t="n">
        <f aca="false">SUBTOTAL(9,J78)</f>
        <v>1681.6</v>
      </c>
      <c r="K77" s="61" t="n">
        <f aca="false">J77/$I$22</f>
        <v>0.00867839850312076</v>
      </c>
    </row>
    <row r="78" customFormat="false" ht="14.25" hidden="false" customHeight="false" outlineLevel="0" collapsed="false">
      <c r="B78" s="62" t="s">
        <v>160</v>
      </c>
      <c r="C78" s="43" t="s">
        <v>28</v>
      </c>
      <c r="D78" s="43" t="s">
        <v>161</v>
      </c>
      <c r="E78" s="73" t="s">
        <v>162</v>
      </c>
      <c r="F78" s="54" t="s">
        <v>58</v>
      </c>
      <c r="G78" s="55" t="n">
        <v>40</v>
      </c>
      <c r="H78" s="48" t="n">
        <v>34.03</v>
      </c>
      <c r="I78" s="48" t="n">
        <f aca="false">ROUND(H78*(100%+$I$7),2)</f>
        <v>42.04</v>
      </c>
      <c r="J78" s="48" t="n">
        <f aca="false">ROUND(I78*G78,2)</f>
        <v>1681.6</v>
      </c>
      <c r="K78" s="49" t="n">
        <f aca="false">J78/$I$22</f>
        <v>0.00867839850312076</v>
      </c>
    </row>
    <row r="79" customFormat="false" ht="14.25" hidden="false" customHeight="true" outlineLevel="0" collapsed="false">
      <c r="B79" s="58" t="s">
        <v>163</v>
      </c>
      <c r="C79" s="58"/>
      <c r="D79" s="58"/>
      <c r="E79" s="59" t="s">
        <v>164</v>
      </c>
      <c r="F79" s="59"/>
      <c r="G79" s="59"/>
      <c r="H79" s="59"/>
      <c r="I79" s="59"/>
      <c r="J79" s="60" t="n">
        <f aca="false">SUBTOTAL(9,J80:J83)</f>
        <v>3061.72</v>
      </c>
      <c r="K79" s="61" t="n">
        <f aca="false">J79/$I$22</f>
        <v>0.015800919520085</v>
      </c>
    </row>
    <row r="80" customFormat="false" ht="21.85" hidden="false" customHeight="false" outlineLevel="0" collapsed="false">
      <c r="B80" s="43" t="s">
        <v>165</v>
      </c>
      <c r="C80" s="43" t="s">
        <v>28</v>
      </c>
      <c r="D80" s="43" t="s">
        <v>166</v>
      </c>
      <c r="E80" s="71" t="s">
        <v>167</v>
      </c>
      <c r="F80" s="43" t="s">
        <v>58</v>
      </c>
      <c r="G80" s="55" t="n">
        <v>13</v>
      </c>
      <c r="H80" s="73" t="n">
        <v>48.61</v>
      </c>
      <c r="I80" s="48" t="n">
        <f aca="false">ROUND(H80*(100%+$I$7),2)</f>
        <v>60.05</v>
      </c>
      <c r="J80" s="48" t="n">
        <f aca="false">ROUND(I80*G80,2)</f>
        <v>780.65</v>
      </c>
      <c r="K80" s="49" t="n">
        <f aca="false">J80/$I$22</f>
        <v>0.00402877723088798</v>
      </c>
    </row>
    <row r="81" customFormat="false" ht="21.85" hidden="false" customHeight="false" outlineLevel="0" collapsed="false">
      <c r="B81" s="43" t="s">
        <v>168</v>
      </c>
      <c r="C81" s="43" t="s">
        <v>28</v>
      </c>
      <c r="D81" s="43" t="s">
        <v>169</v>
      </c>
      <c r="E81" s="71" t="s">
        <v>170</v>
      </c>
      <c r="F81" s="43" t="s">
        <v>58</v>
      </c>
      <c r="G81" s="55" t="n">
        <v>10</v>
      </c>
      <c r="H81" s="73" t="n">
        <v>84.15</v>
      </c>
      <c r="I81" s="48" t="n">
        <f aca="false">ROUND(H81*(100%+$I$7),2)</f>
        <v>103.96</v>
      </c>
      <c r="J81" s="48" t="n">
        <f aca="false">ROUND(I81*G81,2)</f>
        <v>1039.6</v>
      </c>
      <c r="K81" s="49" t="n">
        <f aca="false">J81/$I$22</f>
        <v>0.00536516596327566</v>
      </c>
    </row>
    <row r="82" customFormat="false" ht="21.85" hidden="false" customHeight="false" outlineLevel="0" collapsed="false">
      <c r="B82" s="43" t="s">
        <v>171</v>
      </c>
      <c r="C82" s="43" t="s">
        <v>28</v>
      </c>
      <c r="D82" s="43" t="s">
        <v>172</v>
      </c>
      <c r="E82" s="71" t="s">
        <v>173</v>
      </c>
      <c r="F82" s="43" t="s">
        <v>58</v>
      </c>
      <c r="G82" s="55" t="n">
        <v>10</v>
      </c>
      <c r="H82" s="73" t="n">
        <v>76.99</v>
      </c>
      <c r="I82" s="48" t="n">
        <f aca="false">ROUND(H82*(100%+$I$7),2)</f>
        <v>95.11</v>
      </c>
      <c r="J82" s="48" t="n">
        <f aca="false">ROUND(I82*G82,2)</f>
        <v>951.1</v>
      </c>
      <c r="K82" s="49" t="n">
        <f aca="false">J82/$I$22</f>
        <v>0.0049084353094185</v>
      </c>
    </row>
    <row r="83" customFormat="false" ht="21.85" hidden="false" customHeight="false" outlineLevel="0" collapsed="false">
      <c r="B83" s="43" t="s">
        <v>174</v>
      </c>
      <c r="C83" s="43" t="s">
        <v>28</v>
      </c>
      <c r="D83" s="43" t="s">
        <v>175</v>
      </c>
      <c r="E83" s="71" t="s">
        <v>176</v>
      </c>
      <c r="F83" s="43" t="s">
        <v>38</v>
      </c>
      <c r="G83" s="55" t="n">
        <v>1</v>
      </c>
      <c r="H83" s="73" t="n">
        <v>235.04</v>
      </c>
      <c r="I83" s="48" t="n">
        <f aca="false">ROUND(H83*(100%+$I$7),2)</f>
        <v>290.37</v>
      </c>
      <c r="J83" s="48" t="n">
        <f aca="false">ROUND(I83*G83,2)</f>
        <v>290.37</v>
      </c>
      <c r="K83" s="49" t="n">
        <f aca="false">J83/$I$22</f>
        <v>0.00149854101650284</v>
      </c>
    </row>
    <row r="84" customFormat="false" ht="14.25" hidden="false" customHeight="true" outlineLevel="0" collapsed="false">
      <c r="B84" s="58" t="s">
        <v>177</v>
      </c>
      <c r="C84" s="58"/>
      <c r="D84" s="58"/>
      <c r="E84" s="59" t="s">
        <v>178</v>
      </c>
      <c r="F84" s="59"/>
      <c r="G84" s="59"/>
      <c r="H84" s="59"/>
      <c r="I84" s="59"/>
      <c r="J84" s="60" t="n">
        <f aca="false">SUBTOTAL(9,J85:J89)</f>
        <v>2214.42</v>
      </c>
      <c r="K84" s="61" t="n">
        <f aca="false">J84/$I$22</f>
        <v>0.0114281750792583</v>
      </c>
    </row>
    <row r="85" customFormat="false" ht="14.25" hidden="false" customHeight="false" outlineLevel="0" collapsed="false">
      <c r="B85" s="62" t="s">
        <v>179</v>
      </c>
      <c r="C85" s="51" t="s">
        <v>28</v>
      </c>
      <c r="D85" s="52" t="s">
        <v>180</v>
      </c>
      <c r="E85" s="53" t="s">
        <v>181</v>
      </c>
      <c r="F85" s="74" t="s">
        <v>38</v>
      </c>
      <c r="G85" s="55" t="n">
        <v>2</v>
      </c>
      <c r="H85" s="48" t="n">
        <v>76.22</v>
      </c>
      <c r="I85" s="48" t="n">
        <f aca="false">ROUND(H85*(100%+$I$7),2)</f>
        <v>94.16</v>
      </c>
      <c r="J85" s="48" t="n">
        <f aca="false">ROUND(I85*G85,2)</f>
        <v>188.32</v>
      </c>
      <c r="K85" s="49" t="n">
        <f aca="false">J85/$I$22</f>
        <v>0.000971881545021231</v>
      </c>
    </row>
    <row r="86" customFormat="false" ht="14.25" hidden="false" customHeight="false" outlineLevel="0" collapsed="false">
      <c r="B86" s="62" t="s">
        <v>182</v>
      </c>
      <c r="C86" s="51" t="s">
        <v>28</v>
      </c>
      <c r="D86" s="52" t="s">
        <v>183</v>
      </c>
      <c r="E86" s="53" t="s">
        <v>184</v>
      </c>
      <c r="F86" s="74" t="s">
        <v>38</v>
      </c>
      <c r="G86" s="55" t="n">
        <v>2</v>
      </c>
      <c r="H86" s="48" t="n">
        <v>627.26</v>
      </c>
      <c r="I86" s="48" t="n">
        <f aca="false">ROUND(H86*(100%+$I$7),2)</f>
        <v>774.92</v>
      </c>
      <c r="J86" s="48" t="n">
        <f aca="false">ROUND(I86*G86,2)</f>
        <v>1549.84</v>
      </c>
      <c r="K86" s="49" t="n">
        <f aca="false">J86/$I$22</f>
        <v>0.00799841171270021</v>
      </c>
    </row>
    <row r="87" customFormat="false" ht="21.85" hidden="false" customHeight="false" outlineLevel="0" collapsed="false">
      <c r="B87" s="62" t="s">
        <v>185</v>
      </c>
      <c r="C87" s="51" t="s">
        <v>28</v>
      </c>
      <c r="D87" s="52" t="s">
        <v>186</v>
      </c>
      <c r="E87" s="53" t="s">
        <v>187</v>
      </c>
      <c r="F87" s="74" t="s">
        <v>38</v>
      </c>
      <c r="G87" s="55" t="n">
        <v>2</v>
      </c>
      <c r="H87" s="48" t="n">
        <v>153.82</v>
      </c>
      <c r="I87" s="48" t="n">
        <f aca="false">ROUND(H87*(100%+$I$7),2)</f>
        <v>190.03</v>
      </c>
      <c r="J87" s="48" t="n">
        <f aca="false">ROUND(I87*G87,2)</f>
        <v>380.06</v>
      </c>
      <c r="K87" s="49" t="n">
        <f aca="false">J87/$I$22</f>
        <v>0.00196141302039491</v>
      </c>
    </row>
    <row r="88" customFormat="false" ht="14.25" hidden="false" customHeight="false" outlineLevel="0" collapsed="false">
      <c r="B88" s="62" t="s">
        <v>188</v>
      </c>
      <c r="C88" s="51" t="s">
        <v>154</v>
      </c>
      <c r="D88" s="52" t="n">
        <v>86883</v>
      </c>
      <c r="E88" s="53" t="s">
        <v>189</v>
      </c>
      <c r="F88" s="74" t="s">
        <v>38</v>
      </c>
      <c r="G88" s="55" t="n">
        <v>2</v>
      </c>
      <c r="H88" s="48" t="n">
        <v>14.76</v>
      </c>
      <c r="I88" s="48" t="n">
        <f aca="false">ROUND(H88*(100%+$I$7),2)</f>
        <v>18.23</v>
      </c>
      <c r="J88" s="48" t="n">
        <f aca="false">ROUND(I88*G88,2)</f>
        <v>36.46</v>
      </c>
      <c r="K88" s="49" t="n">
        <f aca="false">J88/$I$22</f>
        <v>0.000188162707792449</v>
      </c>
    </row>
    <row r="89" customFormat="false" ht="22.35" hidden="false" customHeight="false" outlineLevel="0" collapsed="false">
      <c r="B89" s="62" t="s">
        <v>190</v>
      </c>
      <c r="C89" s="51" t="s">
        <v>154</v>
      </c>
      <c r="D89" s="52" t="n">
        <v>89709</v>
      </c>
      <c r="E89" s="53" t="s">
        <v>191</v>
      </c>
      <c r="F89" s="74" t="s">
        <v>38</v>
      </c>
      <c r="G89" s="55" t="n">
        <v>2</v>
      </c>
      <c r="H89" s="48" t="n">
        <v>24.18</v>
      </c>
      <c r="I89" s="48" t="n">
        <f aca="false">ROUND(H89*(100%+$I$7),2)</f>
        <v>29.87</v>
      </c>
      <c r="J89" s="48" t="n">
        <f aca="false">ROUND(I89*G89,2)</f>
        <v>59.74</v>
      </c>
      <c r="K89" s="49" t="n">
        <f aca="false">J89/$I$22</f>
        <v>0.00030830609334945</v>
      </c>
    </row>
    <row r="90" customFormat="false" ht="21.85" hidden="false" customHeight="true" outlineLevel="0" collapsed="false">
      <c r="B90" s="36" t="n">
        <v>8</v>
      </c>
      <c r="C90" s="36"/>
      <c r="D90" s="36"/>
      <c r="E90" s="37" t="s">
        <v>192</v>
      </c>
      <c r="F90" s="37"/>
      <c r="G90" s="37"/>
      <c r="H90" s="37"/>
      <c r="I90" s="69" t="s">
        <v>26</v>
      </c>
      <c r="J90" s="70" t="n">
        <f aca="false">SUBTOTAL(9,J91:J107)</f>
        <v>16019.32</v>
      </c>
      <c r="K90" s="40" t="n">
        <f aca="false">J90/$I$22</f>
        <v>0.0826724802027905</v>
      </c>
    </row>
    <row r="91" customFormat="false" ht="14.25" hidden="false" customHeight="true" outlineLevel="0" collapsed="false">
      <c r="B91" s="58" t="s">
        <v>193</v>
      </c>
      <c r="C91" s="58"/>
      <c r="D91" s="58"/>
      <c r="E91" s="59" t="s">
        <v>194</v>
      </c>
      <c r="F91" s="59"/>
      <c r="G91" s="59"/>
      <c r="H91" s="59"/>
      <c r="I91" s="59"/>
      <c r="J91" s="60" t="n">
        <f aca="false">SUBTOTAL(9,J92:J101)</f>
        <v>13312.11</v>
      </c>
      <c r="K91" s="61" t="n">
        <f aca="false">J91/$I$22</f>
        <v>0.0687011153052919</v>
      </c>
    </row>
    <row r="92" customFormat="false" ht="32.3" hidden="false" customHeight="false" outlineLevel="0" collapsed="false">
      <c r="B92" s="62" t="s">
        <v>195</v>
      </c>
      <c r="C92" s="51" t="s">
        <v>154</v>
      </c>
      <c r="D92" s="75" t="n">
        <v>101880</v>
      </c>
      <c r="E92" s="53" t="s">
        <v>196</v>
      </c>
      <c r="F92" s="74" t="s">
        <v>38</v>
      </c>
      <c r="G92" s="55" t="n">
        <v>1</v>
      </c>
      <c r="H92" s="57" t="n">
        <v>547.89</v>
      </c>
      <c r="I92" s="48" t="n">
        <f aca="false">ROUND(H92*(100%+$I$7),2)</f>
        <v>676.86</v>
      </c>
      <c r="J92" s="57" t="n">
        <f aca="false">ROUND(I92*G92,2)</f>
        <v>676.86</v>
      </c>
      <c r="K92" s="49" t="n">
        <f aca="false">J92/$I$22</f>
        <v>0.00349313797027969</v>
      </c>
    </row>
    <row r="93" customFormat="false" ht="21.85" hidden="false" customHeight="false" outlineLevel="0" collapsed="false">
      <c r="B93" s="62" t="s">
        <v>197</v>
      </c>
      <c r="C93" s="51" t="s">
        <v>154</v>
      </c>
      <c r="D93" s="75" t="n">
        <v>93660</v>
      </c>
      <c r="E93" s="53" t="s">
        <v>198</v>
      </c>
      <c r="F93" s="74" t="s">
        <v>38</v>
      </c>
      <c r="G93" s="55" t="n">
        <v>1</v>
      </c>
      <c r="H93" s="57" t="n">
        <v>55.54</v>
      </c>
      <c r="I93" s="48" t="n">
        <f aca="false">ROUND(H93*(100%+$I$7),2)</f>
        <v>68.61</v>
      </c>
      <c r="J93" s="57" t="n">
        <f aca="false">ROUND(I93*G93,2)</f>
        <v>68.61</v>
      </c>
      <c r="K93" s="49" t="n">
        <f aca="false">J93/$I$22</f>
        <v>0.000354082374702138</v>
      </c>
    </row>
    <row r="94" customFormat="false" ht="21.85" hidden="false" customHeight="false" outlineLevel="0" collapsed="false">
      <c r="B94" s="62" t="s">
        <v>199</v>
      </c>
      <c r="C94" s="51" t="s">
        <v>154</v>
      </c>
      <c r="D94" s="75" t="n">
        <v>93661</v>
      </c>
      <c r="E94" s="53" t="s">
        <v>200</v>
      </c>
      <c r="F94" s="74" t="s">
        <v>38</v>
      </c>
      <c r="G94" s="55" t="n">
        <v>1</v>
      </c>
      <c r="H94" s="57" t="n">
        <v>57.41</v>
      </c>
      <c r="I94" s="48" t="n">
        <f aca="false">ROUND(H94*(100%+$I$7),2)</f>
        <v>70.92</v>
      </c>
      <c r="J94" s="57" t="n">
        <f aca="false">ROUND(I94*G94,2)</f>
        <v>70.92</v>
      </c>
      <c r="K94" s="49" t="n">
        <f aca="false">J94/$I$22</f>
        <v>0.000366003818887562</v>
      </c>
    </row>
    <row r="95" customFormat="false" ht="32.3" hidden="false" customHeight="false" outlineLevel="0" collapsed="false">
      <c r="B95" s="62" t="s">
        <v>201</v>
      </c>
      <c r="C95" s="51" t="s">
        <v>154</v>
      </c>
      <c r="D95" s="52" t="n">
        <v>91856</v>
      </c>
      <c r="E95" s="53" t="s">
        <v>202</v>
      </c>
      <c r="F95" s="54" t="s">
        <v>58</v>
      </c>
      <c r="G95" s="55" t="n">
        <v>20</v>
      </c>
      <c r="H95" s="57" t="n">
        <v>15.15</v>
      </c>
      <c r="I95" s="48" t="n">
        <f aca="false">ROUND(H95*(100%+$I$7),2)</f>
        <v>18.72</v>
      </c>
      <c r="J95" s="57" t="n">
        <f aca="false">ROUND(I95*G95,2)</f>
        <v>374.4</v>
      </c>
      <c r="K95" s="49" t="n">
        <f aca="false">J95/$I$22</f>
        <v>0.00193220290174144</v>
      </c>
    </row>
    <row r="96" customFormat="false" ht="14.25" hidden="false" customHeight="false" outlineLevel="0" collapsed="false">
      <c r="B96" s="62" t="s">
        <v>203</v>
      </c>
      <c r="C96" s="51" t="s">
        <v>28</v>
      </c>
      <c r="D96" s="52" t="s">
        <v>204</v>
      </c>
      <c r="E96" s="53" t="s">
        <v>205</v>
      </c>
      <c r="F96" s="54" t="s">
        <v>206</v>
      </c>
      <c r="G96" s="55" t="n">
        <v>2</v>
      </c>
      <c r="H96" s="57" t="n">
        <v>4220.74</v>
      </c>
      <c r="I96" s="48" t="n">
        <f aca="false">ROUND(H96*(100%+$I$7),2)</f>
        <v>5214.3</v>
      </c>
      <c r="J96" s="57" t="n">
        <f aca="false">ROUND(I96*G96,2)</f>
        <v>10428.6</v>
      </c>
      <c r="K96" s="49" t="n">
        <f aca="false">J96/$I$22</f>
        <v>0.0538199016589232</v>
      </c>
    </row>
    <row r="97" customFormat="false" ht="22.35" hidden="false" customHeight="false" outlineLevel="0" collapsed="false">
      <c r="B97" s="62" t="s">
        <v>207</v>
      </c>
      <c r="C97" s="51" t="s">
        <v>28</v>
      </c>
      <c r="D97" s="52" t="s">
        <v>208</v>
      </c>
      <c r="E97" s="53" t="s">
        <v>209</v>
      </c>
      <c r="F97" s="54" t="s">
        <v>38</v>
      </c>
      <c r="G97" s="55" t="n">
        <v>2</v>
      </c>
      <c r="H97" s="57" t="n">
        <v>44.77</v>
      </c>
      <c r="I97" s="48" t="n">
        <f aca="false">ROUND(H97*(100%+$I$7),2)</f>
        <v>55.31</v>
      </c>
      <c r="J97" s="57" t="n">
        <f aca="false">ROUND(I97*G97,2)</f>
        <v>110.62</v>
      </c>
      <c r="K97" s="49" t="n">
        <f aca="false">J97/$I$22</f>
        <v>0.000570887513329697</v>
      </c>
    </row>
    <row r="98" customFormat="false" ht="22.35" hidden="false" customHeight="false" outlineLevel="0" collapsed="false">
      <c r="B98" s="62" t="s">
        <v>210</v>
      </c>
      <c r="C98" s="51" t="s">
        <v>28</v>
      </c>
      <c r="D98" s="52" t="s">
        <v>211</v>
      </c>
      <c r="E98" s="53" t="s">
        <v>212</v>
      </c>
      <c r="F98" s="54" t="s">
        <v>38</v>
      </c>
      <c r="G98" s="55" t="n">
        <v>10</v>
      </c>
      <c r="H98" s="57" t="n">
        <v>78.43</v>
      </c>
      <c r="I98" s="48" t="n">
        <f aca="false">ROUND(H98*(100%+$I$7),2)</f>
        <v>96.89</v>
      </c>
      <c r="J98" s="57" t="n">
        <f aca="false">ROUND(I98*G98,2)</f>
        <v>968.9</v>
      </c>
      <c r="K98" s="49" t="n">
        <f aca="false">J98/$I$22</f>
        <v>0.0050002975200248</v>
      </c>
    </row>
    <row r="99" customFormat="false" ht="22.35" hidden="false" customHeight="false" outlineLevel="0" collapsed="false">
      <c r="B99" s="62" t="s">
        <v>213</v>
      </c>
      <c r="C99" s="51" t="s">
        <v>154</v>
      </c>
      <c r="D99" s="52" t="n">
        <v>91924</v>
      </c>
      <c r="E99" s="53" t="s">
        <v>214</v>
      </c>
      <c r="F99" s="54" t="s">
        <v>58</v>
      </c>
      <c r="G99" s="55" t="n">
        <v>20</v>
      </c>
      <c r="H99" s="57" t="n">
        <v>3.45</v>
      </c>
      <c r="I99" s="48" t="n">
        <f aca="false">ROUND(H99*(100%+$I$7),2)</f>
        <v>4.26</v>
      </c>
      <c r="J99" s="57" t="n">
        <f aca="false">ROUND(I99*G99,2)</f>
        <v>85.2</v>
      </c>
      <c r="K99" s="49" t="n">
        <f aca="false">J99/$I$22</f>
        <v>0.000439700019306547</v>
      </c>
    </row>
    <row r="100" customFormat="false" ht="22.35" hidden="false" customHeight="false" outlineLevel="0" collapsed="false">
      <c r="B100" s="62" t="s">
        <v>215</v>
      </c>
      <c r="C100" s="51" t="s">
        <v>154</v>
      </c>
      <c r="D100" s="52" t="n">
        <v>91926</v>
      </c>
      <c r="E100" s="53" t="s">
        <v>216</v>
      </c>
      <c r="F100" s="54" t="s">
        <v>58</v>
      </c>
      <c r="G100" s="55" t="n">
        <v>50</v>
      </c>
      <c r="H100" s="57" t="n">
        <v>4.87</v>
      </c>
      <c r="I100" s="48" t="n">
        <f aca="false">ROUND(H100*(100%+$I$7),2)</f>
        <v>6.02</v>
      </c>
      <c r="J100" s="57" t="n">
        <f aca="false">ROUND(I100*G100,2)</f>
        <v>301</v>
      </c>
      <c r="K100" s="49" t="n">
        <f aca="false">J100/$I$22</f>
        <v>0.00155340030294918</v>
      </c>
    </row>
    <row r="101" customFormat="false" ht="22.35" hidden="false" customHeight="false" outlineLevel="0" collapsed="false">
      <c r="B101" s="62" t="s">
        <v>217</v>
      </c>
      <c r="C101" s="51" t="s">
        <v>154</v>
      </c>
      <c r="D101" s="52" t="n">
        <v>91928</v>
      </c>
      <c r="E101" s="53" t="s">
        <v>218</v>
      </c>
      <c r="F101" s="54" t="s">
        <v>58</v>
      </c>
      <c r="G101" s="55" t="n">
        <v>25</v>
      </c>
      <c r="H101" s="57" t="n">
        <v>7.35</v>
      </c>
      <c r="I101" s="48" t="n">
        <f aca="false">ROUND(H101*(100%+$I$7),2)</f>
        <v>9.08</v>
      </c>
      <c r="J101" s="57" t="n">
        <f aca="false">ROUND(I101*G101,2)</f>
        <v>227</v>
      </c>
      <c r="K101" s="49" t="n">
        <f aca="false">J101/$I$22</f>
        <v>0.00117150122514772</v>
      </c>
    </row>
    <row r="102" customFormat="false" ht="14.25" hidden="false" customHeight="true" outlineLevel="0" collapsed="false">
      <c r="B102" s="58" t="s">
        <v>219</v>
      </c>
      <c r="C102" s="58"/>
      <c r="D102" s="58"/>
      <c r="E102" s="59" t="s">
        <v>220</v>
      </c>
      <c r="F102" s="59"/>
      <c r="G102" s="59"/>
      <c r="H102" s="59"/>
      <c r="I102" s="59"/>
      <c r="J102" s="60" t="n">
        <f aca="false">SUBTOTAL(9,J103:J104)</f>
        <v>890.97</v>
      </c>
      <c r="K102" s="61" t="n">
        <f aca="false">J102/$I$22</f>
        <v>0.00459811650471307</v>
      </c>
    </row>
    <row r="103" customFormat="false" ht="42.6" hidden="false" customHeight="false" outlineLevel="0" collapsed="false">
      <c r="B103" s="62" t="s">
        <v>221</v>
      </c>
      <c r="C103" s="51" t="s">
        <v>154</v>
      </c>
      <c r="D103" s="51" t="n">
        <v>104473</v>
      </c>
      <c r="E103" s="76" t="s">
        <v>222</v>
      </c>
      <c r="F103" s="74" t="s">
        <v>38</v>
      </c>
      <c r="G103" s="55" t="n">
        <v>3</v>
      </c>
      <c r="H103" s="57" t="n">
        <v>203.4</v>
      </c>
      <c r="I103" s="48" t="n">
        <f aca="false">ROUND(H103*(100%+$I$7),2)</f>
        <v>251.28</v>
      </c>
      <c r="J103" s="57" t="n">
        <f aca="false">ROUND(I103*G103,2)</f>
        <v>753.84</v>
      </c>
      <c r="K103" s="49" t="n">
        <f aca="false">J103/$I$22</f>
        <v>0.00389041622716018</v>
      </c>
    </row>
    <row r="104" customFormat="false" ht="21.85" hidden="false" customHeight="false" outlineLevel="0" collapsed="false">
      <c r="B104" s="62" t="s">
        <v>223</v>
      </c>
      <c r="C104" s="51" t="s">
        <v>154</v>
      </c>
      <c r="D104" s="52" t="n">
        <v>103782</v>
      </c>
      <c r="E104" s="53" t="s">
        <v>224</v>
      </c>
      <c r="F104" s="74" t="s">
        <v>38</v>
      </c>
      <c r="G104" s="55" t="n">
        <v>3</v>
      </c>
      <c r="H104" s="57" t="n">
        <v>37</v>
      </c>
      <c r="I104" s="48" t="n">
        <f aca="false">ROUND(H104*(100%+$I$7),2)</f>
        <v>45.71</v>
      </c>
      <c r="J104" s="57" t="n">
        <f aca="false">ROUND(I104*G104,2)</f>
        <v>137.13</v>
      </c>
      <c r="K104" s="49" t="n">
        <f aca="false">J104/$I$22</f>
        <v>0.000707700277552896</v>
      </c>
    </row>
    <row r="105" customFormat="false" ht="14.25" hidden="false" customHeight="true" outlineLevel="0" collapsed="false">
      <c r="B105" s="58" t="s">
        <v>225</v>
      </c>
      <c r="C105" s="58"/>
      <c r="D105" s="58"/>
      <c r="E105" s="59" t="s">
        <v>226</v>
      </c>
      <c r="F105" s="59"/>
      <c r="G105" s="59"/>
      <c r="H105" s="59"/>
      <c r="I105" s="59"/>
      <c r="J105" s="60" t="n">
        <f aca="false">SUBTOTAL(9,J106:J107)</f>
        <v>1816.24</v>
      </c>
      <c r="K105" s="61" t="n">
        <f aca="false">J105/$I$22</f>
        <v>0.00937324839278547</v>
      </c>
    </row>
    <row r="106" customFormat="false" ht="42.6" hidden="false" customHeight="false" outlineLevel="0" collapsed="false">
      <c r="B106" s="62" t="s">
        <v>227</v>
      </c>
      <c r="C106" s="51" t="s">
        <v>154</v>
      </c>
      <c r="D106" s="62" t="n">
        <v>104475</v>
      </c>
      <c r="E106" s="76" t="s">
        <v>228</v>
      </c>
      <c r="F106" s="74" t="s">
        <v>38</v>
      </c>
      <c r="G106" s="55" t="n">
        <v>6</v>
      </c>
      <c r="H106" s="57" t="n">
        <v>171.32</v>
      </c>
      <c r="I106" s="48" t="n">
        <f aca="false">ROUND(H106*(100%+$I$7),2)</f>
        <v>211.65</v>
      </c>
      <c r="J106" s="57" t="n">
        <f aca="false">ROUND(I106*G106,2)</f>
        <v>1269.9</v>
      </c>
      <c r="K106" s="49" t="n">
        <f aca="false">J106/$I$22</f>
        <v>0.00655369782297399</v>
      </c>
    </row>
    <row r="107" customFormat="false" ht="42.6" hidden="false" customHeight="false" outlineLevel="0" collapsed="false">
      <c r="B107" s="62" t="s">
        <v>229</v>
      </c>
      <c r="C107" s="51" t="s">
        <v>154</v>
      </c>
      <c r="D107" s="62" t="n">
        <v>104476</v>
      </c>
      <c r="E107" s="76" t="s">
        <v>230</v>
      </c>
      <c r="F107" s="74" t="s">
        <v>38</v>
      </c>
      <c r="G107" s="55" t="n">
        <v>2</v>
      </c>
      <c r="H107" s="57" t="n">
        <v>221.12</v>
      </c>
      <c r="I107" s="48" t="n">
        <f aca="false">ROUND(H107*(100%+$I$7),2)</f>
        <v>273.17</v>
      </c>
      <c r="J107" s="57" t="n">
        <f aca="false">ROUND(I107*G107,2)</f>
        <v>546.34</v>
      </c>
      <c r="K107" s="49" t="n">
        <f aca="false">J107/$I$22</f>
        <v>0.00281955056981149</v>
      </c>
    </row>
    <row r="108" customFormat="false" ht="21.85" hidden="false" customHeight="true" outlineLevel="0" collapsed="false">
      <c r="B108" s="36" t="n">
        <v>9</v>
      </c>
      <c r="C108" s="36"/>
      <c r="D108" s="36"/>
      <c r="E108" s="37" t="s">
        <v>231</v>
      </c>
      <c r="F108" s="37"/>
      <c r="G108" s="37"/>
      <c r="H108" s="37"/>
      <c r="I108" s="69" t="s">
        <v>26</v>
      </c>
      <c r="J108" s="70" t="n">
        <f aca="false">SUBTOTAL(9,J109:J131)</f>
        <v>52785.41</v>
      </c>
      <c r="K108" s="40" t="n">
        <f aca="false">J108/$I$22</f>
        <v>0.272414856761784</v>
      </c>
    </row>
    <row r="109" customFormat="false" ht="14.25" hidden="false" customHeight="true" outlineLevel="0" collapsed="false">
      <c r="B109" s="58" t="s">
        <v>232</v>
      </c>
      <c r="C109" s="58"/>
      <c r="D109" s="58"/>
      <c r="E109" s="59" t="s">
        <v>233</v>
      </c>
      <c r="F109" s="59"/>
      <c r="G109" s="59"/>
      <c r="H109" s="59"/>
      <c r="I109" s="59"/>
      <c r="J109" s="60" t="n">
        <f aca="false">SUBTOTAL(9,J110:J116)</f>
        <v>20158.6</v>
      </c>
      <c r="K109" s="61" t="n">
        <f aca="false">J109/$I$22</f>
        <v>0.104034469591467</v>
      </c>
    </row>
    <row r="110" customFormat="false" ht="14.25" hidden="false" customHeight="false" outlineLevel="0" collapsed="false">
      <c r="B110" s="62" t="s">
        <v>234</v>
      </c>
      <c r="C110" s="51" t="s">
        <v>28</v>
      </c>
      <c r="D110" s="52" t="s">
        <v>235</v>
      </c>
      <c r="E110" s="77" t="s">
        <v>236</v>
      </c>
      <c r="F110" s="54" t="s">
        <v>48</v>
      </c>
      <c r="G110" s="55" t="n">
        <f aca="false">57.48*0.05</f>
        <v>2.874</v>
      </c>
      <c r="H110" s="57" t="n">
        <v>221.55</v>
      </c>
      <c r="I110" s="48" t="n">
        <f aca="false">ROUND(H110*(100%+$I$7),2)</f>
        <v>273.7</v>
      </c>
      <c r="J110" s="57" t="n">
        <f aca="false">ROUND(I110*G110,2)</f>
        <v>786.61</v>
      </c>
      <c r="K110" s="49" t="n">
        <f aca="false">J110/$I$22</f>
        <v>0.00405953558904604</v>
      </c>
    </row>
    <row r="111" customFormat="false" ht="14.25" hidden="false" customHeight="false" outlineLevel="0" collapsed="false">
      <c r="B111" s="62" t="s">
        <v>237</v>
      </c>
      <c r="C111" s="51" t="s">
        <v>28</v>
      </c>
      <c r="D111" s="52" t="s">
        <v>131</v>
      </c>
      <c r="E111" s="77" t="s">
        <v>132</v>
      </c>
      <c r="F111" s="54" t="s">
        <v>84</v>
      </c>
      <c r="G111" s="55" t="n">
        <f aca="false">13*8.92</f>
        <v>115.96</v>
      </c>
      <c r="H111" s="57" t="n">
        <v>10.22</v>
      </c>
      <c r="I111" s="48" t="n">
        <f aca="false">ROUND(H111*(100%+$I$7),2)</f>
        <v>12.63</v>
      </c>
      <c r="J111" s="57" t="n">
        <f aca="false">ROUND(I111*G111,2)</f>
        <v>1464.57</v>
      </c>
      <c r="K111" s="49" t="n">
        <f aca="false">J111/$I$22</f>
        <v>0.00755835043750926</v>
      </c>
    </row>
    <row r="112" customFormat="false" ht="14.25" hidden="false" customHeight="false" outlineLevel="0" collapsed="false">
      <c r="B112" s="62" t="s">
        <v>238</v>
      </c>
      <c r="C112" s="51" t="s">
        <v>28</v>
      </c>
      <c r="D112" s="52" t="s">
        <v>118</v>
      </c>
      <c r="E112" s="77" t="s">
        <v>119</v>
      </c>
      <c r="F112" s="54" t="s">
        <v>48</v>
      </c>
      <c r="G112" s="55" t="n">
        <f aca="false">57.48*0.08</f>
        <v>4.5984</v>
      </c>
      <c r="H112" s="56" t="n">
        <v>568.59</v>
      </c>
      <c r="I112" s="48" t="n">
        <f aca="false">ROUND(H112*(100%+$I$7),2)</f>
        <v>702.44</v>
      </c>
      <c r="J112" s="57" t="n">
        <f aca="false">ROUND(I112*G112,2)</f>
        <v>3230.1</v>
      </c>
      <c r="K112" s="49" t="n">
        <f aca="false">J112/$I$22</f>
        <v>0.0166698947460338</v>
      </c>
    </row>
    <row r="113" customFormat="false" ht="14.25" hidden="false" customHeight="false" outlineLevel="0" collapsed="false">
      <c r="B113" s="62" t="s">
        <v>239</v>
      </c>
      <c r="C113" s="51" t="s">
        <v>28</v>
      </c>
      <c r="D113" s="52" t="s">
        <v>121</v>
      </c>
      <c r="E113" s="77" t="s">
        <v>122</v>
      </c>
      <c r="F113" s="54" t="s">
        <v>48</v>
      </c>
      <c r="G113" s="55" t="n">
        <f aca="false">57.48*0.08</f>
        <v>4.5984</v>
      </c>
      <c r="H113" s="57" t="n">
        <v>134.91</v>
      </c>
      <c r="I113" s="48" t="n">
        <f aca="false">ROUND(H113*(100%+$I$7),2)</f>
        <v>166.67</v>
      </c>
      <c r="J113" s="57" t="n">
        <f aca="false">ROUND(I113*G113,2)</f>
        <v>766.42</v>
      </c>
      <c r="K113" s="49" t="n">
        <f aca="false">J113/$I$22</f>
        <v>0.00395533907038643</v>
      </c>
    </row>
    <row r="114" customFormat="false" ht="32.55" hidden="false" customHeight="false" outlineLevel="0" collapsed="false">
      <c r="B114" s="62" t="s">
        <v>240</v>
      </c>
      <c r="C114" s="51" t="s">
        <v>28</v>
      </c>
      <c r="D114" s="52" t="s">
        <v>241</v>
      </c>
      <c r="E114" s="77" t="s">
        <v>242</v>
      </c>
      <c r="F114" s="52" t="s">
        <v>31</v>
      </c>
      <c r="G114" s="78" t="n">
        <v>57.48</v>
      </c>
      <c r="H114" s="79" t="n">
        <v>149.06</v>
      </c>
      <c r="I114" s="48" t="n">
        <f aca="false">ROUND(H114*(100%+$I$7),2)</f>
        <v>184.15</v>
      </c>
      <c r="J114" s="57" t="n">
        <f aca="false">ROUND(I114*G114,2)</f>
        <v>10584.94</v>
      </c>
      <c r="K114" s="49" t="n">
        <f aca="false">J114/$I$22</f>
        <v>0.054626740872754</v>
      </c>
    </row>
    <row r="115" customFormat="false" ht="14.25" hidden="false" customHeight="false" outlineLevel="0" collapsed="false">
      <c r="B115" s="62" t="s">
        <v>243</v>
      </c>
      <c r="C115" s="51" t="s">
        <v>28</v>
      </c>
      <c r="D115" s="52" t="s">
        <v>244</v>
      </c>
      <c r="E115" s="53" t="s">
        <v>245</v>
      </c>
      <c r="F115" s="54" t="s">
        <v>48</v>
      </c>
      <c r="G115" s="78" t="n">
        <f aca="false">G124*0.03</f>
        <v>1.7244</v>
      </c>
      <c r="H115" s="57" t="n">
        <v>830.97</v>
      </c>
      <c r="I115" s="48" t="n">
        <f aca="false">ROUND(H115*(100%+$I$7),2)</f>
        <v>1026.58</v>
      </c>
      <c r="J115" s="57" t="n">
        <f aca="false">ROUND(I115*G115,2)</f>
        <v>1770.23</v>
      </c>
      <c r="K115" s="49" t="n">
        <f aca="false">J115/$I$22</f>
        <v>0.00913580006076324</v>
      </c>
    </row>
    <row r="116" customFormat="false" ht="32.55" hidden="false" customHeight="false" outlineLevel="0" collapsed="false">
      <c r="B116" s="62" t="s">
        <v>246</v>
      </c>
      <c r="C116" s="51" t="s">
        <v>28</v>
      </c>
      <c r="D116" s="52" t="s">
        <v>247</v>
      </c>
      <c r="E116" s="53" t="s">
        <v>248</v>
      </c>
      <c r="F116" s="54" t="s">
        <v>58</v>
      </c>
      <c r="G116" s="55" t="n">
        <v>40.44</v>
      </c>
      <c r="H116" s="48" t="n">
        <v>31.14</v>
      </c>
      <c r="I116" s="48" t="n">
        <f aca="false">ROUND(H116*(100%+$I$7),2)</f>
        <v>38.47</v>
      </c>
      <c r="J116" s="57" t="n">
        <f aca="false">ROUND(I116*G116,2)</f>
        <v>1555.73</v>
      </c>
      <c r="K116" s="49" t="n">
        <f aca="false">J116/$I$22</f>
        <v>0.00802880881497387</v>
      </c>
    </row>
    <row r="117" customFormat="false" ht="14.25" hidden="false" customHeight="true" outlineLevel="0" collapsed="false">
      <c r="B117" s="58" t="s">
        <v>249</v>
      </c>
      <c r="C117" s="58"/>
      <c r="D117" s="58"/>
      <c r="E117" s="59" t="s">
        <v>250</v>
      </c>
      <c r="F117" s="59"/>
      <c r="G117" s="59"/>
      <c r="H117" s="59"/>
      <c r="I117" s="59"/>
      <c r="J117" s="60" t="n">
        <f aca="false">SUBTOTAL(9,J118:J120)</f>
        <v>13070.23</v>
      </c>
      <c r="K117" s="61" t="n">
        <f aca="false">J117/$I$22</f>
        <v>0.067452821400716</v>
      </c>
    </row>
    <row r="118" customFormat="false" ht="14.25" hidden="false" customHeight="false" outlineLevel="0" collapsed="false">
      <c r="B118" s="62" t="s">
        <v>251</v>
      </c>
      <c r="C118" s="51" t="s">
        <v>28</v>
      </c>
      <c r="D118" s="52" t="s">
        <v>252</v>
      </c>
      <c r="E118" s="53" t="s">
        <v>253</v>
      </c>
      <c r="F118" s="54" t="s">
        <v>31</v>
      </c>
      <c r="G118" s="55" t="n">
        <f aca="false">G126+G128</f>
        <v>225.66</v>
      </c>
      <c r="H118" s="57" t="n">
        <v>7.67</v>
      </c>
      <c r="I118" s="48" t="n">
        <f aca="false">ROUND(H118*(100%+$I$7),2)</f>
        <v>9.48</v>
      </c>
      <c r="J118" s="57" t="n">
        <f aca="false">ROUND(I118*G118,2)</f>
        <v>2139.26</v>
      </c>
      <c r="K118" s="49" t="n">
        <f aca="false">J118/$I$22</f>
        <v>0.0110402894753723</v>
      </c>
    </row>
    <row r="119" customFormat="false" ht="14.25" hidden="false" customHeight="false" outlineLevel="0" collapsed="false">
      <c r="B119" s="62" t="s">
        <v>254</v>
      </c>
      <c r="C119" s="51" t="s">
        <v>28</v>
      </c>
      <c r="D119" s="52" t="s">
        <v>255</v>
      </c>
      <c r="E119" s="53" t="s">
        <v>256</v>
      </c>
      <c r="F119" s="54" t="s">
        <v>31</v>
      </c>
      <c r="G119" s="55" t="n">
        <f aca="false">G118</f>
        <v>225.66</v>
      </c>
      <c r="H119" s="57" t="n">
        <v>24.63</v>
      </c>
      <c r="I119" s="48" t="n">
        <f aca="false">ROUND(H119*(100%+$I$7),2)</f>
        <v>30.43</v>
      </c>
      <c r="J119" s="57" t="n">
        <f aca="false">ROUND(I119*G119,2)</f>
        <v>6866.83</v>
      </c>
      <c r="K119" s="49" t="n">
        <f aca="false">J119/$I$22</f>
        <v>0.0354383249245865</v>
      </c>
    </row>
    <row r="120" customFormat="false" ht="14.25" hidden="false" customHeight="false" outlineLevel="0" collapsed="false">
      <c r="B120" s="62" t="s">
        <v>257</v>
      </c>
      <c r="C120" s="51" t="s">
        <v>28</v>
      </c>
      <c r="D120" s="52" t="s">
        <v>258</v>
      </c>
      <c r="E120" s="53" t="s">
        <v>259</v>
      </c>
      <c r="F120" s="54" t="s">
        <v>31</v>
      </c>
      <c r="G120" s="55" t="n">
        <f aca="false">G118</f>
        <v>225.66</v>
      </c>
      <c r="H120" s="57" t="n">
        <v>14.58</v>
      </c>
      <c r="I120" s="48" t="n">
        <f aca="false">ROUND(H120*(100%+$I$7),2)</f>
        <v>18.01</v>
      </c>
      <c r="J120" s="57" t="n">
        <f aca="false">ROUND(I120*G120,2)</f>
        <v>4064.14</v>
      </c>
      <c r="K120" s="49" t="n">
        <f aca="false">J120/$I$22</f>
        <v>0.0209742070007571</v>
      </c>
    </row>
    <row r="121" customFormat="false" ht="14.25" hidden="false" customHeight="true" outlineLevel="0" collapsed="false">
      <c r="B121" s="58" t="s">
        <v>260</v>
      </c>
      <c r="C121" s="58"/>
      <c r="D121" s="58"/>
      <c r="E121" s="59" t="s">
        <v>261</v>
      </c>
      <c r="F121" s="59"/>
      <c r="G121" s="59"/>
      <c r="H121" s="59"/>
      <c r="I121" s="59"/>
      <c r="J121" s="60" t="n">
        <f aca="false">SUBTOTAL(9,J122:J124)</f>
        <v>3329.24</v>
      </c>
      <c r="K121" s="61" t="n">
        <f aca="false">J121/$I$22</f>
        <v>0.0171815362943207</v>
      </c>
    </row>
    <row r="122" customFormat="false" ht="14.25" hidden="false" customHeight="false" outlineLevel="0" collapsed="false">
      <c r="B122" s="62" t="s">
        <v>262</v>
      </c>
      <c r="C122" s="51" t="s">
        <v>28</v>
      </c>
      <c r="D122" s="52" t="s">
        <v>252</v>
      </c>
      <c r="E122" s="53" t="s">
        <v>253</v>
      </c>
      <c r="F122" s="54" t="s">
        <v>31</v>
      </c>
      <c r="G122" s="55" t="n">
        <v>57.48</v>
      </c>
      <c r="H122" s="57" t="n">
        <v>7.67</v>
      </c>
      <c r="I122" s="48" t="n">
        <f aca="false">ROUND(H122*(100%+$I$7),2)</f>
        <v>9.48</v>
      </c>
      <c r="J122" s="57" t="n">
        <f aca="false">ROUND(I122*G122,2)</f>
        <v>544.91</v>
      </c>
      <c r="K122" s="49" t="n">
        <f aca="false">J122/$I$22</f>
        <v>0.00281217062817289</v>
      </c>
    </row>
    <row r="123" customFormat="false" ht="14.25" hidden="false" customHeight="false" outlineLevel="0" collapsed="false">
      <c r="B123" s="62" t="s">
        <v>263</v>
      </c>
      <c r="C123" s="51" t="s">
        <v>28</v>
      </c>
      <c r="D123" s="52" t="s">
        <v>255</v>
      </c>
      <c r="E123" s="53" t="s">
        <v>256</v>
      </c>
      <c r="F123" s="54" t="s">
        <v>31</v>
      </c>
      <c r="G123" s="55" t="n">
        <v>57.48</v>
      </c>
      <c r="H123" s="57" t="n">
        <v>24.63</v>
      </c>
      <c r="I123" s="48" t="n">
        <f aca="false">ROUND(H123*(100%+$I$7),2)</f>
        <v>30.43</v>
      </c>
      <c r="J123" s="57" t="n">
        <f aca="false">ROUND(I123*G123,2)</f>
        <v>1749.12</v>
      </c>
      <c r="K123" s="49" t="n">
        <f aca="false">J123/$I$22</f>
        <v>0.00902685560762285</v>
      </c>
    </row>
    <row r="124" customFormat="false" ht="14.25" hidden="false" customHeight="false" outlineLevel="0" collapsed="false">
      <c r="B124" s="62" t="s">
        <v>264</v>
      </c>
      <c r="C124" s="51" t="s">
        <v>28</v>
      </c>
      <c r="D124" s="52" t="s">
        <v>258</v>
      </c>
      <c r="E124" s="53" t="s">
        <v>259</v>
      </c>
      <c r="F124" s="54" t="s">
        <v>31</v>
      </c>
      <c r="G124" s="55" t="n">
        <v>57.48</v>
      </c>
      <c r="H124" s="57" t="n">
        <v>14.58</v>
      </c>
      <c r="I124" s="48" t="n">
        <f aca="false">ROUND(H124*(100%+$I$7),2)</f>
        <v>18.01</v>
      </c>
      <c r="J124" s="57" t="n">
        <f aca="false">ROUND(I124*G124,2)</f>
        <v>1035.21</v>
      </c>
      <c r="K124" s="49" t="n">
        <f aca="false">J124/$I$22</f>
        <v>0.005342510058525</v>
      </c>
    </row>
    <row r="125" customFormat="false" ht="14.25" hidden="false" customHeight="true" outlineLevel="0" collapsed="false">
      <c r="B125" s="58" t="s">
        <v>265</v>
      </c>
      <c r="C125" s="58"/>
      <c r="D125" s="58"/>
      <c r="E125" s="59" t="s">
        <v>266</v>
      </c>
      <c r="F125" s="59"/>
      <c r="G125" s="59"/>
      <c r="H125" s="59"/>
      <c r="I125" s="59"/>
      <c r="J125" s="60" t="n">
        <f aca="false">SUBTOTAL(9,J126)</f>
        <v>5766.19</v>
      </c>
      <c r="K125" s="61" t="n">
        <f aca="false">J125/$I$22</f>
        <v>0.0297581438301082</v>
      </c>
    </row>
    <row r="126" customFormat="false" ht="14.25" hidden="false" customHeight="false" outlineLevel="0" collapsed="false">
      <c r="B126" s="62" t="s">
        <v>267</v>
      </c>
      <c r="C126" s="51" t="s">
        <v>28</v>
      </c>
      <c r="D126" s="52" t="s">
        <v>268</v>
      </c>
      <c r="E126" s="53" t="s">
        <v>269</v>
      </c>
      <c r="F126" s="54" t="s">
        <v>31</v>
      </c>
      <c r="G126" s="55" t="n">
        <f aca="false">((1.1+3+4.55+5.5+3.45+2.5)*3)+((1.05+3+4.55+5.62+3.5+2.62)*3)+((2.47+2+2.35)*3)</f>
        <v>141.78</v>
      </c>
      <c r="H126" s="56" t="n">
        <v>32.92</v>
      </c>
      <c r="I126" s="48" t="n">
        <f aca="false">ROUND(H126*(100%+$I$7),2)</f>
        <v>40.67</v>
      </c>
      <c r="J126" s="57" t="n">
        <f aca="false">ROUND(I126*G126,2)</f>
        <v>5766.19</v>
      </c>
      <c r="K126" s="49" t="n">
        <f aca="false">J126/$I$22</f>
        <v>0.0297581438301082</v>
      </c>
    </row>
    <row r="127" customFormat="false" ht="14.25" hidden="false" customHeight="true" outlineLevel="0" collapsed="false">
      <c r="B127" s="58" t="s">
        <v>270</v>
      </c>
      <c r="C127" s="58"/>
      <c r="D127" s="58"/>
      <c r="E127" s="59" t="s">
        <v>271</v>
      </c>
      <c r="F127" s="59"/>
      <c r="G127" s="59"/>
      <c r="H127" s="59"/>
      <c r="I127" s="59"/>
      <c r="J127" s="60" t="n">
        <f aca="false">SUBTOTAL(9,J128)</f>
        <v>3715.88</v>
      </c>
      <c r="K127" s="61" t="n">
        <f aca="false">J127/$I$22</f>
        <v>0.0191769073678499</v>
      </c>
    </row>
    <row r="128" customFormat="false" ht="14.25" hidden="false" customHeight="false" outlineLevel="0" collapsed="false">
      <c r="B128" s="62" t="s">
        <v>272</v>
      </c>
      <c r="C128" s="51" t="s">
        <v>28</v>
      </c>
      <c r="D128" s="52" t="s">
        <v>273</v>
      </c>
      <c r="E128" s="53" t="s">
        <v>274</v>
      </c>
      <c r="F128" s="54" t="s">
        <v>31</v>
      </c>
      <c r="G128" s="55" t="n">
        <f aca="false">5.77*4+9.55*4+5.65*4</f>
        <v>83.88</v>
      </c>
      <c r="H128" s="56" t="n">
        <v>35.86</v>
      </c>
      <c r="I128" s="48" t="n">
        <f aca="false">ROUND(H128*(100%+$I$7),2)</f>
        <v>44.3</v>
      </c>
      <c r="J128" s="57" t="n">
        <f aca="false">ROUND(I128*G128,2)</f>
        <v>3715.88</v>
      </c>
      <c r="K128" s="49" t="n">
        <f aca="false">J128/$I$22</f>
        <v>0.0191769073678499</v>
      </c>
    </row>
    <row r="129" customFormat="false" ht="14.25" hidden="false" customHeight="true" outlineLevel="0" collapsed="false">
      <c r="B129" s="58" t="s">
        <v>275</v>
      </c>
      <c r="C129" s="58"/>
      <c r="D129" s="58"/>
      <c r="E129" s="59" t="s">
        <v>276</v>
      </c>
      <c r="F129" s="59"/>
      <c r="G129" s="59"/>
      <c r="H129" s="59"/>
      <c r="I129" s="59"/>
      <c r="J129" s="60" t="n">
        <f aca="false">SUBTOTAL(9,J130:J131)</f>
        <v>6745.27</v>
      </c>
      <c r="K129" s="61" t="n">
        <f aca="false">J129/$I$22</f>
        <v>0.0348109782773224</v>
      </c>
    </row>
    <row r="130" customFormat="false" ht="21.85" hidden="false" customHeight="false" outlineLevel="0" collapsed="false">
      <c r="B130" s="62" t="s">
        <v>277</v>
      </c>
      <c r="C130" s="51" t="s">
        <v>28</v>
      </c>
      <c r="D130" s="52" t="s">
        <v>278</v>
      </c>
      <c r="E130" s="53" t="s">
        <v>279</v>
      </c>
      <c r="F130" s="54" t="s">
        <v>58</v>
      </c>
      <c r="G130" s="55" t="n">
        <f aca="false">0.9*2+2*4</f>
        <v>9.8</v>
      </c>
      <c r="H130" s="56" t="n">
        <v>176.34</v>
      </c>
      <c r="I130" s="48" t="n">
        <f aca="false">ROUND(H130*(100%+$I$7),2)</f>
        <v>217.85</v>
      </c>
      <c r="J130" s="57" t="n">
        <f aca="false">ROUND(I130*G130,2)</f>
        <v>2134.93</v>
      </c>
      <c r="K130" s="49" t="n">
        <f aca="false">J130/$I$22</f>
        <v>0.0110179432185226</v>
      </c>
    </row>
    <row r="131" customFormat="false" ht="14.25" hidden="false" customHeight="false" outlineLevel="0" collapsed="false">
      <c r="B131" s="62" t="s">
        <v>280</v>
      </c>
      <c r="C131" s="51" t="s">
        <v>28</v>
      </c>
      <c r="D131" s="52" t="s">
        <v>281</v>
      </c>
      <c r="E131" s="53" t="s">
        <v>282</v>
      </c>
      <c r="F131" s="54" t="s">
        <v>31</v>
      </c>
      <c r="G131" s="55" t="n">
        <f aca="false">3*0.6*2</f>
        <v>3.6</v>
      </c>
      <c r="H131" s="48" t="n">
        <v>1036.63</v>
      </c>
      <c r="I131" s="48" t="n">
        <f aca="false">ROUND(H131*(100%+$I$7),2)</f>
        <v>1280.65</v>
      </c>
      <c r="J131" s="48" t="n">
        <f aca="false">ROUND(I131*G131,2)</f>
        <v>4610.34</v>
      </c>
      <c r="K131" s="49" t="n">
        <f aca="false">J131/$I$22</f>
        <v>0.0237930350587998</v>
      </c>
    </row>
    <row r="132" customFormat="false" ht="21.85" hidden="false" customHeight="true" outlineLevel="0" collapsed="false">
      <c r="B132" s="36" t="n">
        <v>10</v>
      </c>
      <c r="C132" s="36"/>
      <c r="D132" s="36"/>
      <c r="E132" s="37" t="s">
        <v>283</v>
      </c>
      <c r="F132" s="37"/>
      <c r="G132" s="37"/>
      <c r="H132" s="37"/>
      <c r="I132" s="69" t="s">
        <v>26</v>
      </c>
      <c r="J132" s="70" t="n">
        <f aca="false">SUBTOTAL(9,J133:J133)</f>
        <v>1128.91</v>
      </c>
      <c r="K132" s="40" t="n">
        <f aca="false">J132/$I$22</f>
        <v>0.00582607686379523</v>
      </c>
    </row>
    <row r="133" customFormat="false" ht="14.25" hidden="false" customHeight="false" outlineLevel="0" collapsed="false">
      <c r="B133" s="80" t="s">
        <v>284</v>
      </c>
      <c r="C133" s="81" t="s">
        <v>28</v>
      </c>
      <c r="D133" s="82" t="s">
        <v>285</v>
      </c>
      <c r="E133" s="83" t="s">
        <v>286</v>
      </c>
      <c r="F133" s="84" t="s">
        <v>31</v>
      </c>
      <c r="G133" s="46" t="n">
        <v>57.48</v>
      </c>
      <c r="H133" s="85" t="n">
        <v>15.9</v>
      </c>
      <c r="I133" s="48" t="n">
        <f aca="false">ROUND(H133*(100%+$I$7),2)</f>
        <v>19.64</v>
      </c>
      <c r="J133" s="57" t="n">
        <f aca="false">ROUND(I133*G133,2)</f>
        <v>1128.91</v>
      </c>
      <c r="K133" s="49" t="n">
        <f aca="false">J133/$I$22</f>
        <v>0.00582607686379523</v>
      </c>
    </row>
    <row r="134" customFormat="false" ht="14.25" hidden="false" customHeight="false" outlineLevel="0" collapsed="false">
      <c r="B134" s="86"/>
      <c r="C134" s="86"/>
      <c r="D134" s="86"/>
      <c r="E134" s="86"/>
      <c r="F134" s="86"/>
      <c r="G134" s="86"/>
      <c r="H134" s="87"/>
      <c r="I134" s="87"/>
      <c r="J134" s="87"/>
      <c r="K134" s="88"/>
    </row>
    <row r="135" customFormat="false" ht="14.25" hidden="false" customHeight="false" outlineLevel="0" collapsed="false">
      <c r="B135" s="89" t="s">
        <v>17</v>
      </c>
      <c r="C135" s="89"/>
      <c r="D135" s="89"/>
      <c r="E135" s="89"/>
      <c r="F135" s="89"/>
      <c r="G135" s="89"/>
      <c r="H135" s="89"/>
      <c r="I135" s="89"/>
      <c r="J135" s="90" t="n">
        <f aca="false">SUBTOTAL(9,J25:J133)</f>
        <v>193768.47</v>
      </c>
      <c r="K135" s="90"/>
    </row>
    <row r="137" customFormat="false" ht="14.25" hidden="false" customHeight="false" outlineLevel="0" collapsed="false">
      <c r="B137" s="91" t="s">
        <v>287</v>
      </c>
      <c r="C137" s="91"/>
      <c r="D137" s="91"/>
      <c r="E137" s="91"/>
      <c r="F137" s="91"/>
      <c r="G137" s="91"/>
      <c r="H137" s="91"/>
      <c r="I137" s="91"/>
      <c r="J137" s="91"/>
      <c r="K137" s="91"/>
    </row>
    <row r="138" customFormat="false" ht="14.25" hidden="false" customHeight="false" outlineLevel="0" collapsed="false">
      <c r="B138" s="92" t="n">
        <f aca="true">TODAY()</f>
        <v>46127</v>
      </c>
      <c r="C138" s="92"/>
      <c r="D138" s="92"/>
      <c r="E138" s="92"/>
      <c r="F138" s="92"/>
      <c r="G138" s="92"/>
    </row>
    <row r="139" customFormat="false" ht="14.25" hidden="false" customHeight="false" outlineLevel="0" collapsed="false">
      <c r="B139" s="92"/>
      <c r="C139" s="92"/>
      <c r="D139" s="92"/>
      <c r="E139" s="92"/>
      <c r="F139" s="92"/>
      <c r="G139" s="92"/>
    </row>
    <row r="140" customFormat="false" ht="14.25" hidden="false" customHeight="false" outlineLevel="0" collapsed="false">
      <c r="B140" s="93"/>
      <c r="C140" s="93"/>
      <c r="D140" s="93"/>
      <c r="E140" s="93"/>
      <c r="F140" s="94"/>
      <c r="G140" s="93"/>
    </row>
    <row r="141" customFormat="false" ht="14.25" hidden="false" customHeight="false" outlineLevel="0" collapsed="false">
      <c r="B141" s="93"/>
      <c r="C141" s="93"/>
      <c r="D141" s="93"/>
      <c r="E141" s="93"/>
      <c r="F141" s="94"/>
      <c r="G141" s="93"/>
    </row>
    <row r="142" customFormat="false" ht="14.25" hidden="false" customHeight="false" outlineLevel="0" collapsed="false">
      <c r="B142" s="93"/>
      <c r="C142" s="93"/>
      <c r="D142" s="93"/>
      <c r="E142" s="93"/>
      <c r="F142" s="94"/>
      <c r="G142" s="93"/>
    </row>
    <row r="143" customFormat="false" ht="14.25" hidden="false" customHeight="false" outlineLevel="0" collapsed="false">
      <c r="B143" s="93"/>
      <c r="C143" s="93"/>
      <c r="D143" s="93"/>
      <c r="E143" s="93"/>
      <c r="F143" s="94"/>
      <c r="G143" s="93"/>
      <c r="H143" s="95"/>
      <c r="I143" s="95"/>
      <c r="J143" s="95"/>
      <c r="K143" s="95"/>
    </row>
    <row r="144" customFormat="false" ht="14.25" hidden="false" customHeight="false" outlineLevel="0" collapsed="false">
      <c r="B144" s="93"/>
      <c r="C144" s="93"/>
      <c r="D144" s="93"/>
      <c r="E144" s="93"/>
      <c r="F144" s="94"/>
      <c r="G144" s="93"/>
      <c r="H144" s="95"/>
      <c r="I144" s="95"/>
      <c r="J144" s="95"/>
      <c r="K144" s="95"/>
    </row>
    <row r="145" customFormat="false" ht="14.25" hidden="false" customHeight="false" outlineLevel="0" collapsed="false">
      <c r="H145" s="95"/>
      <c r="I145" s="95"/>
      <c r="J145" s="95"/>
      <c r="K145" s="95"/>
    </row>
    <row r="148" customFormat="false" ht="18.75" hidden="false" customHeight="true" outlineLevel="0" collapsed="false"/>
    <row r="149" customFormat="false" ht="18" hidden="false" customHeight="true" outlineLevel="0" collapsed="false"/>
    <row r="150" customFormat="false" ht="30" hidden="false" customHeight="true" outlineLevel="0" collapsed="false"/>
    <row r="156" customFormat="false" ht="14.25" hidden="false" customHeight="false" outlineLevel="0" collapsed="false">
      <c r="H156" s="96"/>
      <c r="I156" s="96"/>
      <c r="J156" s="96"/>
      <c r="K156" s="96"/>
    </row>
    <row r="157" customFormat="false" ht="14.25" hidden="false" customHeight="false" outlineLevel="0" collapsed="false">
      <c r="H157" s="4" t="s">
        <v>288</v>
      </c>
      <c r="J157" s="4"/>
      <c r="K157" s="4"/>
    </row>
    <row r="158" customFormat="false" ht="14.25" hidden="false" customHeight="false" outlineLevel="0" collapsed="false">
      <c r="H158" s="97" t="s">
        <v>289</v>
      </c>
      <c r="I158" s="97"/>
      <c r="J158" s="97"/>
      <c r="K158" s="97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4">
    <mergeCell ref="B1:J1"/>
    <mergeCell ref="B2:D5"/>
    <mergeCell ref="E2:K2"/>
    <mergeCell ref="E3:K3"/>
    <mergeCell ref="E4:K4"/>
    <mergeCell ref="E5:K5"/>
    <mergeCell ref="B6:I6"/>
    <mergeCell ref="J6:J7"/>
    <mergeCell ref="B7:C7"/>
    <mergeCell ref="D7:G7"/>
    <mergeCell ref="B8:C8"/>
    <mergeCell ref="D8:G8"/>
    <mergeCell ref="J8:K8"/>
    <mergeCell ref="B9:J9"/>
    <mergeCell ref="B10:K10"/>
    <mergeCell ref="B11:C11"/>
    <mergeCell ref="D11:H11"/>
    <mergeCell ref="J11:K11"/>
    <mergeCell ref="B12:C12"/>
    <mergeCell ref="D12:H12"/>
    <mergeCell ref="J12:K12"/>
    <mergeCell ref="B13:C13"/>
    <mergeCell ref="D13:H13"/>
    <mergeCell ref="J13:K13"/>
    <mergeCell ref="B14:C14"/>
    <mergeCell ref="D14:H14"/>
    <mergeCell ref="J14:K14"/>
    <mergeCell ref="B15:C15"/>
    <mergeCell ref="D15:H15"/>
    <mergeCell ref="J15:K15"/>
    <mergeCell ref="B16:C16"/>
    <mergeCell ref="D16:H16"/>
    <mergeCell ref="J16:K16"/>
    <mergeCell ref="B17:C17"/>
    <mergeCell ref="D17:H17"/>
    <mergeCell ref="J17:K17"/>
    <mergeCell ref="B18:C18"/>
    <mergeCell ref="D18:H18"/>
    <mergeCell ref="J18:K18"/>
    <mergeCell ref="B19:C19"/>
    <mergeCell ref="D19:H19"/>
    <mergeCell ref="J19:K19"/>
    <mergeCell ref="B20:C20"/>
    <mergeCell ref="D20:H20"/>
    <mergeCell ref="J20:K20"/>
    <mergeCell ref="B21:C21"/>
    <mergeCell ref="D21:H21"/>
    <mergeCell ref="J21:K21"/>
    <mergeCell ref="B22:H22"/>
    <mergeCell ref="J22:K22"/>
    <mergeCell ref="B23:K23"/>
    <mergeCell ref="C24:D24"/>
    <mergeCell ref="B25:D25"/>
    <mergeCell ref="E25:H25"/>
    <mergeCell ref="B33:D33"/>
    <mergeCell ref="E33:H33"/>
    <mergeCell ref="B34:D34"/>
    <mergeCell ref="E34:I34"/>
    <mergeCell ref="B36:D36"/>
    <mergeCell ref="E36:I36"/>
    <mergeCell ref="B41:D41"/>
    <mergeCell ref="E41:I41"/>
    <mergeCell ref="B46:D46"/>
    <mergeCell ref="E46:H46"/>
    <mergeCell ref="B49:D49"/>
    <mergeCell ref="E49:H49"/>
    <mergeCell ref="B50:D50"/>
    <mergeCell ref="E50:I50"/>
    <mergeCell ref="B52:D52"/>
    <mergeCell ref="E52:I52"/>
    <mergeCell ref="B54:D54"/>
    <mergeCell ref="E54:I54"/>
    <mergeCell ref="B56:D56"/>
    <mergeCell ref="E56:H56"/>
    <mergeCell ref="B57:D57"/>
    <mergeCell ref="E57:I57"/>
    <mergeCell ref="B63:D63"/>
    <mergeCell ref="E63:I63"/>
    <mergeCell ref="B66:D66"/>
    <mergeCell ref="E66:H66"/>
    <mergeCell ref="B67:D67"/>
    <mergeCell ref="E67:I67"/>
    <mergeCell ref="B70:D70"/>
    <mergeCell ref="E70:I70"/>
    <mergeCell ref="B73:D73"/>
    <mergeCell ref="E73:H73"/>
    <mergeCell ref="B74:D74"/>
    <mergeCell ref="E74:I74"/>
    <mergeCell ref="B77:D77"/>
    <mergeCell ref="E77:I77"/>
    <mergeCell ref="B79:D79"/>
    <mergeCell ref="E79:I79"/>
    <mergeCell ref="B84:D84"/>
    <mergeCell ref="E84:I84"/>
    <mergeCell ref="B90:D90"/>
    <mergeCell ref="E90:H90"/>
    <mergeCell ref="B91:D91"/>
    <mergeCell ref="E91:I91"/>
    <mergeCell ref="B102:D102"/>
    <mergeCell ref="E102:I102"/>
    <mergeCell ref="B105:D105"/>
    <mergeCell ref="E105:I105"/>
    <mergeCell ref="B108:D108"/>
    <mergeCell ref="E108:H108"/>
    <mergeCell ref="B109:D109"/>
    <mergeCell ref="E109:I109"/>
    <mergeCell ref="B117:D117"/>
    <mergeCell ref="E117:I117"/>
    <mergeCell ref="B121:D121"/>
    <mergeCell ref="E121:I121"/>
    <mergeCell ref="B125:D125"/>
    <mergeCell ref="E125:I125"/>
    <mergeCell ref="B127:D127"/>
    <mergeCell ref="E127:I127"/>
    <mergeCell ref="B129:D129"/>
    <mergeCell ref="E129:I129"/>
    <mergeCell ref="B132:D132"/>
    <mergeCell ref="E132:H132"/>
    <mergeCell ref="B135:I135"/>
    <mergeCell ref="J135:K135"/>
    <mergeCell ref="B138:E138"/>
    <mergeCell ref="H156:K156"/>
    <mergeCell ref="H157:K157"/>
    <mergeCell ref="H158:K158"/>
  </mergeCells>
  <conditionalFormatting sqref="B134 B106:B107 B103:B104">
    <cfRule type="expression" priority="2" aboveAverage="0" equalAverage="0" bottom="0" percent="0" rank="0" text="" dxfId="0">
      <formula>#ref!=1</formula>
    </cfRule>
  </conditionalFormatting>
  <conditionalFormatting sqref="B42:B45 B47:B48 B53 B55 B51 B58:B62 B64:B65 B71:B72 B68:B69 B75:B76 B78 B85:B89 B37:B40 B35">
    <cfRule type="expression" priority="3" aboveAverage="0" equalAverage="0" bottom="0" percent="0" rank="0" text="" dxfId="1">
      <formula>#ref!=1</formula>
    </cfRule>
  </conditionalFormatting>
  <conditionalFormatting sqref="B35:B45">
    <cfRule type="expression" priority="4" aboveAverage="0" equalAverage="0" bottom="0" percent="0" rank="0" text="" dxfId="2">
      <formula>#ref!=1</formula>
    </cfRule>
  </conditionalFormatting>
  <conditionalFormatting sqref="D104">
    <cfRule type="expression" priority="5" aboveAverage="0" equalAverage="0" bottom="0" percent="0" rank="0" text="" dxfId="3">
      <formula>#ref!=1</formula>
    </cfRule>
  </conditionalFormatting>
  <conditionalFormatting sqref="B122:B124 B126 B128 B130:B131">
    <cfRule type="expression" priority="6" aboveAverage="0" equalAverage="0" bottom="0" percent="0" rank="0" text="" dxfId="4">
      <formula>#ref!=1</formula>
    </cfRule>
  </conditionalFormatting>
  <conditionalFormatting sqref="B133">
    <cfRule type="expression" priority="7" aboveAverage="0" equalAverage="0" bottom="0" percent="0" rank="0" text="" dxfId="5">
      <formula>#ref!=1</formula>
    </cfRule>
  </conditionalFormatting>
  <conditionalFormatting sqref="B118:B120 B92:B101 F95:F101">
    <cfRule type="expression" priority="8" aboveAverage="0" equalAverage="0" bottom="0" percent="0" rank="0" text="" dxfId="6">
      <formula>#ref!=1</formula>
    </cfRule>
  </conditionalFormatting>
  <conditionalFormatting sqref="F106:F107 D115 G115">
    <cfRule type="expression" priority="9" aboveAverage="0" equalAverage="0" bottom="0" percent="0" rank="0" text="" dxfId="7">
      <formula>#ref!=1</formula>
    </cfRule>
  </conditionalFormatting>
  <conditionalFormatting sqref="H114 F114 D110:D114 B110:B116 D116">
    <cfRule type="expression" priority="10" aboveAverage="0" equalAverage="0" bottom="0" percent="0" rank="0" text="" dxfId="8">
      <formula>#ref!=1</formula>
    </cfRule>
  </conditionalFormatting>
  <conditionalFormatting sqref="D103">
    <cfRule type="expression" priority="11" aboveAverage="0" equalAverage="0" bottom="0" percent="0" rank="0" text="" dxfId="9">
      <formula>#ref!=1</formula>
    </cfRule>
  </conditionalFormatting>
  <conditionalFormatting sqref="G114">
    <cfRule type="expression" priority="12" aboveAverage="0" equalAverage="0" bottom="0" percent="0" rank="0" text="" dxfId="8">
      <formula>#ref!=1</formula>
    </cfRule>
  </conditionalFormatting>
  <printOptions headings="false" gridLines="false" gridLinesSet="true" horizontalCentered="true" verticalCentered="true"/>
  <pageMargins left="0.0395833333333333" right="0.0395833333333333" top="0.0395833333333333" bottom="0.0395833333333333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L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10" zoomScaleNormal="90" zoomScalePageLayoutView="110" workbookViewId="0">
      <selection pane="topLeft" activeCell="J52" activeCellId="0" sqref="J52"/>
    </sheetView>
  </sheetViews>
  <sheetFormatPr defaultColWidth="8.66796875" defaultRowHeight="14.25" zeroHeight="false" outlineLevelRow="0" outlineLevelCol="0"/>
  <cols>
    <col collapsed="false" customWidth="true" hidden="false" outlineLevel="0" max="1" min="1" style="95" width="1.67"/>
    <col collapsed="false" customWidth="true" hidden="false" outlineLevel="0" max="2" min="2" style="95" width="7"/>
    <col collapsed="false" customWidth="true" hidden="false" outlineLevel="0" max="3" min="3" style="95" width="9.56"/>
    <col collapsed="false" customWidth="true" hidden="false" outlineLevel="0" max="5" min="5" style="95" width="64.33"/>
    <col collapsed="false" customWidth="true" hidden="false" outlineLevel="0" max="8" min="8" style="95" width="19.44"/>
    <col collapsed="false" customWidth="true" hidden="false" outlineLevel="0" max="10" min="9" style="95" width="20.66"/>
    <col collapsed="false" customWidth="true" hidden="false" outlineLevel="0" max="12" min="11" style="95" width="22.11"/>
    <col collapsed="false" customWidth="true" hidden="false" outlineLevel="0" max="16384" min="16383" style="95" width="11.53"/>
  </cols>
  <sheetData>
    <row r="1" customFormat="false" ht="24.75" hidden="false" customHeight="true" outlineLevel="0" collapsed="false">
      <c r="B1" s="6"/>
      <c r="C1" s="6"/>
      <c r="D1" s="6"/>
      <c r="E1" s="98" t="str">
        <f aca="false">'ORÇ.'!E2</f>
        <v>PREFEITURA MUNICIPAL DE ESPÍRITO SANTO DO PINHAL - SP</v>
      </c>
      <c r="F1" s="98"/>
      <c r="G1" s="98"/>
      <c r="H1" s="98"/>
      <c r="I1" s="98"/>
      <c r="J1" s="98"/>
      <c r="K1" s="98"/>
      <c r="L1" s="98"/>
    </row>
    <row r="2" customFormat="false" ht="17.25" hidden="false" customHeight="true" outlineLevel="0" collapsed="false">
      <c r="B2" s="6"/>
      <c r="C2" s="6"/>
      <c r="D2" s="6"/>
      <c r="E2" s="99" t="s">
        <v>290</v>
      </c>
      <c r="F2" s="99"/>
      <c r="G2" s="99"/>
      <c r="H2" s="99"/>
      <c r="I2" s="99"/>
      <c r="J2" s="99"/>
      <c r="K2" s="99"/>
      <c r="L2" s="99"/>
    </row>
    <row r="3" customFormat="false" ht="20.25" hidden="false" customHeight="true" outlineLevel="0" collapsed="false">
      <c r="B3" s="6"/>
      <c r="C3" s="6"/>
      <c r="D3" s="6"/>
      <c r="E3" s="9" t="s">
        <v>2</v>
      </c>
      <c r="F3" s="9"/>
      <c r="G3" s="9"/>
      <c r="H3" s="9"/>
      <c r="I3" s="9"/>
      <c r="J3" s="9"/>
      <c r="K3" s="9"/>
      <c r="L3" s="9"/>
    </row>
    <row r="4" customFormat="false" ht="20.25" hidden="false" customHeight="true" outlineLevel="0" collapsed="false">
      <c r="B4" s="6"/>
      <c r="C4" s="6"/>
      <c r="D4" s="6"/>
      <c r="E4" s="10" t="s">
        <v>3</v>
      </c>
      <c r="F4" s="10"/>
      <c r="G4" s="10"/>
      <c r="H4" s="10"/>
      <c r="I4" s="10"/>
      <c r="J4" s="10"/>
      <c r="K4" s="10"/>
      <c r="L4" s="10"/>
    </row>
    <row r="5" customFormat="false" ht="14.25" hidden="false" customHeight="false" outlineLevel="0" collapsed="false"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customFormat="false" ht="27.75" hidden="false" customHeight="true" outlineLevel="0" collapsed="false">
      <c r="B6" s="101" t="s">
        <v>6</v>
      </c>
      <c r="C6" s="101"/>
      <c r="D6" s="25" t="str">
        <f aca="false">'ORÇ.'!D7</f>
        <v>Projeto de Ampliação em Unidade Básica de Saúde do Município – UBS Vereador Antônio Arquideu Zibordi</v>
      </c>
      <c r="E6" s="25"/>
      <c r="F6" s="25"/>
      <c r="G6" s="25"/>
      <c r="H6" s="102" t="str">
        <f aca="false">'ORÇ.'!H7</f>
        <v>BDI:</v>
      </c>
      <c r="I6" s="103" t="n">
        <f aca="false">'ORÇ.'!I7</f>
        <v>0.2354</v>
      </c>
      <c r="J6" s="102" t="str">
        <f aca="false">'ORÇ.'!J6</f>
        <v>Fonte:</v>
      </c>
      <c r="K6" s="104" t="str">
        <f aca="false">'ORÇ.'!K6</f>
        <v>CDHU 199</v>
      </c>
      <c r="L6" s="104" t="str">
        <f aca="false">'ORÇ.'!K6</f>
        <v>CDHU 199</v>
      </c>
    </row>
    <row r="7" customFormat="false" ht="30" hidden="false" customHeight="true" outlineLevel="0" collapsed="false">
      <c r="B7" s="101" t="s">
        <v>10</v>
      </c>
      <c r="C7" s="101"/>
      <c r="D7" s="105" t="str">
        <f aca="false">'ORÇ.'!D8</f>
        <v>Jardim Vitória, Rua Adélia D Arcádia – Espírito Santo do Pinhal – SP</v>
      </c>
      <c r="E7" s="105"/>
      <c r="F7" s="105"/>
      <c r="G7" s="105"/>
      <c r="H7" s="102" t="str">
        <f aca="false">'ORÇ.'!H8</f>
        <v>Atualizado:</v>
      </c>
      <c r="I7" s="106" t="n">
        <f aca="true">TODAY()</f>
        <v>46127</v>
      </c>
      <c r="J7" s="102" t="str">
        <f aca="false">'ORÇ.'!J8</f>
        <v>Sem Desoneração</v>
      </c>
      <c r="K7" s="104" t="str">
        <f aca="false">'ORÇ.'!K7</f>
        <v>SINAPI – SETEMBRO 2025</v>
      </c>
      <c r="L7" s="104"/>
    </row>
    <row r="8" customFormat="false" ht="14.25" hidden="false" customHeight="false" outlineLevel="0" collapsed="false">
      <c r="B8" s="5"/>
      <c r="C8" s="5"/>
      <c r="D8" s="5"/>
      <c r="E8" s="5"/>
      <c r="F8" s="5"/>
      <c r="G8" s="5"/>
      <c r="H8" s="5"/>
      <c r="I8" s="5"/>
      <c r="J8" s="5"/>
      <c r="K8" s="5"/>
    </row>
    <row r="9" customFormat="false" ht="25.5" hidden="false" customHeight="true" outlineLevel="0" collapsed="false">
      <c r="B9" s="107" t="s">
        <v>15</v>
      </c>
      <c r="C9" s="107"/>
      <c r="D9" s="107" t="s">
        <v>16</v>
      </c>
      <c r="E9" s="107"/>
      <c r="F9" s="107"/>
      <c r="G9" s="107"/>
      <c r="H9" s="107" t="s">
        <v>291</v>
      </c>
      <c r="I9" s="107" t="s">
        <v>292</v>
      </c>
      <c r="J9" s="107" t="s">
        <v>293</v>
      </c>
      <c r="K9" s="107" t="s">
        <v>294</v>
      </c>
      <c r="L9" s="107" t="s">
        <v>295</v>
      </c>
    </row>
    <row r="10" s="95" customFormat="true" ht="14.25" hidden="false" customHeight="false" outlineLevel="0" collapsed="false">
      <c r="B10" s="108" t="n">
        <f aca="false">'ORÇ.'!B12</f>
        <v>1</v>
      </c>
      <c r="C10" s="108"/>
      <c r="D10" s="109" t="str">
        <f aca="false">'ORÇ.'!D12</f>
        <v>SERVIÇOS PRELIMINARES</v>
      </c>
      <c r="E10" s="109"/>
      <c r="F10" s="109"/>
      <c r="G10" s="109"/>
      <c r="H10" s="110" t="n">
        <f aca="false">'ORÇ.'!J12</f>
        <v>0.0921516281776906</v>
      </c>
      <c r="I10" s="111" t="n">
        <f aca="false">H10</f>
        <v>0.0921516281776906</v>
      </c>
      <c r="J10" s="111"/>
      <c r="K10" s="111"/>
      <c r="L10" s="111"/>
    </row>
    <row r="11" customFormat="false" ht="14.25" hidden="false" customHeight="false" outlineLevel="0" collapsed="false">
      <c r="B11" s="108"/>
      <c r="C11" s="108"/>
      <c r="D11" s="109"/>
      <c r="E11" s="109"/>
      <c r="F11" s="109"/>
      <c r="G11" s="109"/>
      <c r="H11" s="112"/>
      <c r="I11" s="113"/>
      <c r="J11" s="113"/>
      <c r="K11" s="113"/>
      <c r="L11" s="113"/>
    </row>
    <row r="12" customFormat="false" ht="14.25" hidden="false" customHeight="false" outlineLevel="0" collapsed="false">
      <c r="B12" s="108"/>
      <c r="C12" s="108"/>
      <c r="D12" s="109"/>
      <c r="E12" s="109"/>
      <c r="F12" s="109"/>
      <c r="G12" s="109"/>
      <c r="H12" s="112" t="n">
        <f aca="false">'ORÇ.'!I12</f>
        <v>17856.08</v>
      </c>
      <c r="I12" s="113" t="n">
        <f aca="false">H12</f>
        <v>17856.08</v>
      </c>
      <c r="J12" s="113"/>
      <c r="K12" s="113"/>
      <c r="L12" s="113"/>
    </row>
    <row r="13" customFormat="false" ht="14.25" hidden="false" customHeight="false" outlineLevel="0" collapsed="false">
      <c r="B13" s="108" t="n">
        <f aca="false">'ORÇ.'!B33</f>
        <v>2</v>
      </c>
      <c r="C13" s="108"/>
      <c r="D13" s="109" t="str">
        <f aca="false">'ORÇ.'!D13</f>
        <v>FUNDAÇÕES</v>
      </c>
      <c r="E13" s="109"/>
      <c r="F13" s="109"/>
      <c r="G13" s="109"/>
      <c r="H13" s="110" t="n">
        <f aca="false">'ORÇ.'!J13</f>
        <v>0.0765874860858426</v>
      </c>
      <c r="I13" s="111" t="n">
        <f aca="false">H13</f>
        <v>0.0765874860858426</v>
      </c>
      <c r="J13" s="111"/>
      <c r="K13" s="111"/>
      <c r="L13" s="111"/>
    </row>
    <row r="14" customFormat="false" ht="14.25" hidden="false" customHeight="false" outlineLevel="0" collapsed="false">
      <c r="B14" s="108"/>
      <c r="C14" s="108"/>
      <c r="D14" s="109"/>
      <c r="E14" s="109"/>
      <c r="F14" s="109"/>
      <c r="G14" s="109"/>
      <c r="H14" s="112"/>
      <c r="I14" s="113"/>
      <c r="J14" s="113"/>
      <c r="K14" s="113"/>
      <c r="L14" s="113"/>
    </row>
    <row r="15" customFormat="false" ht="14.25" hidden="false" customHeight="false" outlineLevel="0" collapsed="false">
      <c r="B15" s="108"/>
      <c r="C15" s="108"/>
      <c r="D15" s="109"/>
      <c r="E15" s="109"/>
      <c r="F15" s="109"/>
      <c r="G15" s="109"/>
      <c r="H15" s="112" t="n">
        <f aca="false">'ORÇ.'!I13</f>
        <v>14840.24</v>
      </c>
      <c r="I15" s="113" t="n">
        <f aca="false">H15</f>
        <v>14840.24</v>
      </c>
      <c r="J15" s="113"/>
      <c r="K15" s="113"/>
      <c r="L15" s="113"/>
    </row>
    <row r="16" customFormat="false" ht="14.25" hidden="false" customHeight="false" outlineLevel="0" collapsed="false">
      <c r="B16" s="108" t="n">
        <f aca="false">'ORÇ.'!B46</f>
        <v>3</v>
      </c>
      <c r="C16" s="108"/>
      <c r="D16" s="109" t="str">
        <f aca="false">'ORÇ.'!E46</f>
        <v>ALVENARIA</v>
      </c>
      <c r="E16" s="109"/>
      <c r="F16" s="109"/>
      <c r="G16" s="109"/>
      <c r="H16" s="110" t="n">
        <f aca="false">'ORÇ.'!J14</f>
        <v>0.0857123968620901</v>
      </c>
      <c r="I16" s="111"/>
      <c r="J16" s="111" t="n">
        <f aca="false">H16</f>
        <v>0.0857123968620901</v>
      </c>
      <c r="K16" s="111"/>
      <c r="L16" s="111"/>
    </row>
    <row r="17" customFormat="false" ht="14.25" hidden="false" customHeight="false" outlineLevel="0" collapsed="false">
      <c r="B17" s="108"/>
      <c r="C17" s="108"/>
      <c r="D17" s="109"/>
      <c r="E17" s="109"/>
      <c r="F17" s="109"/>
      <c r="G17" s="109"/>
      <c r="H17" s="112"/>
      <c r="I17" s="113"/>
      <c r="J17" s="113"/>
      <c r="K17" s="113"/>
      <c r="L17" s="113"/>
    </row>
    <row r="18" customFormat="false" ht="14.25" hidden="false" customHeight="false" outlineLevel="0" collapsed="false">
      <c r="B18" s="108"/>
      <c r="C18" s="108"/>
      <c r="D18" s="109"/>
      <c r="E18" s="109"/>
      <c r="F18" s="109"/>
      <c r="G18" s="109"/>
      <c r="H18" s="112" t="n">
        <f aca="false">'ORÇ.'!I14</f>
        <v>16608.36</v>
      </c>
      <c r="I18" s="113"/>
      <c r="J18" s="113" t="n">
        <f aca="false">H18</f>
        <v>16608.36</v>
      </c>
      <c r="K18" s="114"/>
      <c r="L18" s="113"/>
    </row>
    <row r="19" customFormat="false" ht="14.25" hidden="false" customHeight="false" outlineLevel="0" collapsed="false">
      <c r="B19" s="108" t="n">
        <f aca="false">'ORÇ.'!B49</f>
        <v>4</v>
      </c>
      <c r="C19" s="108"/>
      <c r="D19" s="109" t="str">
        <f aca="false">'ORÇ.'!E49</f>
        <v>ESQUADRIAS</v>
      </c>
      <c r="E19" s="109"/>
      <c r="F19" s="109"/>
      <c r="G19" s="109"/>
      <c r="H19" s="110" t="n">
        <f aca="false">'ORÇ.'!J15</f>
        <v>0.0532882362130433</v>
      </c>
      <c r="I19" s="111"/>
      <c r="J19" s="111" t="n">
        <f aca="false">H19</f>
        <v>0.0532882362130433</v>
      </c>
      <c r="K19" s="111"/>
      <c r="L19" s="111"/>
    </row>
    <row r="20" customFormat="false" ht="14.25" hidden="false" customHeight="false" outlineLevel="0" collapsed="false">
      <c r="B20" s="108"/>
      <c r="C20" s="108"/>
      <c r="D20" s="109"/>
      <c r="E20" s="109"/>
      <c r="F20" s="109"/>
      <c r="G20" s="109"/>
      <c r="H20" s="112"/>
      <c r="I20" s="113"/>
      <c r="J20" s="113"/>
      <c r="K20" s="113"/>
      <c r="L20" s="113"/>
    </row>
    <row r="21" customFormat="false" ht="14.25" hidden="false" customHeight="false" outlineLevel="0" collapsed="false">
      <c r="B21" s="108"/>
      <c r="C21" s="108"/>
      <c r="D21" s="109"/>
      <c r="E21" s="109"/>
      <c r="F21" s="109"/>
      <c r="G21" s="109"/>
      <c r="H21" s="112" t="n">
        <f aca="false">'ORÇ.'!I15</f>
        <v>10325.58</v>
      </c>
      <c r="I21" s="113"/>
      <c r="J21" s="113" t="n">
        <f aca="false">H21</f>
        <v>10325.58</v>
      </c>
      <c r="K21" s="113"/>
      <c r="L21" s="113"/>
    </row>
    <row r="22" customFormat="false" ht="14.25" hidden="false" customHeight="false" outlineLevel="0" collapsed="false">
      <c r="B22" s="108" t="n">
        <f aca="false">'ORÇ.'!B56</f>
        <v>5</v>
      </c>
      <c r="C22" s="108"/>
      <c r="D22" s="109" t="str">
        <f aca="false">'ORÇ.'!E56</f>
        <v>SUPERESTRUTURA DE CONCRETO ARMADO</v>
      </c>
      <c r="E22" s="109"/>
      <c r="F22" s="109"/>
      <c r="G22" s="109"/>
      <c r="H22" s="110" t="n">
        <f aca="false">'ORÇ.'!J16</f>
        <v>0.176650618132042</v>
      </c>
      <c r="I22" s="111"/>
      <c r="J22" s="111" t="n">
        <f aca="false">H22/2</f>
        <v>0.0883253090660209</v>
      </c>
      <c r="K22" s="111" t="n">
        <f aca="false">J22</f>
        <v>0.0883253090660209</v>
      </c>
      <c r="L22" s="111"/>
    </row>
    <row r="23" customFormat="false" ht="14.25" hidden="false" customHeight="false" outlineLevel="0" collapsed="false">
      <c r="B23" s="108"/>
      <c r="C23" s="108"/>
      <c r="D23" s="109"/>
      <c r="E23" s="109"/>
      <c r="F23" s="109"/>
      <c r="G23" s="109"/>
      <c r="H23" s="112"/>
      <c r="I23" s="113"/>
      <c r="J23" s="113"/>
      <c r="K23" s="113"/>
      <c r="L23" s="113"/>
    </row>
    <row r="24" customFormat="false" ht="14.25" hidden="false" customHeight="false" outlineLevel="0" collapsed="false">
      <c r="B24" s="108"/>
      <c r="C24" s="108"/>
      <c r="D24" s="109"/>
      <c r="E24" s="109"/>
      <c r="F24" s="109"/>
      <c r="G24" s="109"/>
      <c r="H24" s="112" t="n">
        <f aca="false">'ORÇ.'!I16</f>
        <v>34229.32</v>
      </c>
      <c r="I24" s="113"/>
      <c r="J24" s="113" t="n">
        <f aca="false">H24/2</f>
        <v>17114.66</v>
      </c>
      <c r="K24" s="113" t="n">
        <f aca="false">J24</f>
        <v>17114.66</v>
      </c>
      <c r="L24" s="113"/>
    </row>
    <row r="25" customFormat="false" ht="14.25" hidden="false" customHeight="false" outlineLevel="0" collapsed="false">
      <c r="B25" s="108" t="n">
        <v>6</v>
      </c>
      <c r="C25" s="108"/>
      <c r="D25" s="109" t="str">
        <f aca="false">'ORÇ.'!D17</f>
        <v>COBERTURA </v>
      </c>
      <c r="E25" s="109"/>
      <c r="F25" s="109"/>
      <c r="G25" s="109"/>
      <c r="H25" s="110" t="n">
        <f aca="false">'ORÇ.'!J17</f>
        <v>0.117176494194334</v>
      </c>
      <c r="I25" s="111"/>
      <c r="J25" s="111"/>
      <c r="K25" s="111" t="n">
        <f aca="false">H25</f>
        <v>0.117176494194334</v>
      </c>
      <c r="L25" s="111"/>
    </row>
    <row r="26" customFormat="false" ht="14.25" hidden="false" customHeight="false" outlineLevel="0" collapsed="false">
      <c r="B26" s="108"/>
      <c r="C26" s="108"/>
      <c r="D26" s="109"/>
      <c r="E26" s="109"/>
      <c r="F26" s="109"/>
      <c r="G26" s="109"/>
      <c r="H26" s="112"/>
      <c r="I26" s="113"/>
      <c r="J26" s="113"/>
      <c r="K26" s="113"/>
      <c r="L26" s="113"/>
    </row>
    <row r="27" customFormat="false" ht="14.25" hidden="false" customHeight="false" outlineLevel="0" collapsed="false">
      <c r="B27" s="108"/>
      <c r="C27" s="108"/>
      <c r="D27" s="109"/>
      <c r="E27" s="109"/>
      <c r="F27" s="109"/>
      <c r="G27" s="109"/>
      <c r="H27" s="112" t="n">
        <f aca="false">'ORÇ.'!I17</f>
        <v>22705.11</v>
      </c>
      <c r="I27" s="113"/>
      <c r="J27" s="113"/>
      <c r="K27" s="113" t="n">
        <f aca="false">H27</f>
        <v>22705.11</v>
      </c>
      <c r="L27" s="113"/>
    </row>
    <row r="28" customFormat="false" ht="14.25" hidden="false" customHeight="false" outlineLevel="0" collapsed="false">
      <c r="B28" s="108" t="n">
        <v>7</v>
      </c>
      <c r="C28" s="108"/>
      <c r="D28" s="109" t="str">
        <f aca="false">'ORÇ.'!D18</f>
        <v>INSTALAÇÕES HIDRÁULICAS</v>
      </c>
      <c r="E28" s="109"/>
      <c r="F28" s="109"/>
      <c r="G28" s="109"/>
      <c r="H28" s="110" t="n">
        <f aca="false">'ORÇ.'!J18</f>
        <v>0.037519726506588</v>
      </c>
      <c r="I28" s="111"/>
      <c r="J28" s="111"/>
      <c r="K28" s="111" t="n">
        <f aca="false">H28</f>
        <v>0.037519726506588</v>
      </c>
      <c r="L28" s="111"/>
    </row>
    <row r="29" customFormat="false" ht="14.25" hidden="false" customHeight="false" outlineLevel="0" collapsed="false">
      <c r="B29" s="108"/>
      <c r="C29" s="108"/>
      <c r="D29" s="109"/>
      <c r="E29" s="109"/>
      <c r="F29" s="109"/>
      <c r="G29" s="109"/>
      <c r="H29" s="112"/>
      <c r="I29" s="113"/>
      <c r="J29" s="113"/>
      <c r="K29" s="113"/>
      <c r="L29" s="113"/>
    </row>
    <row r="30" customFormat="false" ht="14.25" hidden="false" customHeight="false" outlineLevel="0" collapsed="false">
      <c r="B30" s="108"/>
      <c r="C30" s="108"/>
      <c r="D30" s="109"/>
      <c r="E30" s="109"/>
      <c r="F30" s="109"/>
      <c r="G30" s="109"/>
      <c r="H30" s="112" t="n">
        <f aca="false">'ORÇ.'!I18</f>
        <v>7270.14</v>
      </c>
      <c r="I30" s="113"/>
      <c r="J30" s="113"/>
      <c r="K30" s="113" t="n">
        <f aca="false">H30</f>
        <v>7270.14</v>
      </c>
      <c r="L30" s="113"/>
    </row>
    <row r="31" customFormat="false" ht="14.25" hidden="false" customHeight="false" outlineLevel="0" collapsed="false">
      <c r="B31" s="108" t="n">
        <v>8</v>
      </c>
      <c r="C31" s="108"/>
      <c r="D31" s="109" t="str">
        <f aca="false">'ORÇ.'!D19</f>
        <v>INSTALAÇÕES ELÉTRICAS </v>
      </c>
      <c r="E31" s="109"/>
      <c r="F31" s="109"/>
      <c r="G31" s="109"/>
      <c r="H31" s="110" t="n">
        <f aca="false">'ORÇ.'!J19</f>
        <v>0.0826724802027905</v>
      </c>
      <c r="I31" s="111"/>
      <c r="J31" s="111"/>
      <c r="K31" s="111" t="n">
        <f aca="false">H31/2</f>
        <v>0.0413362401013952</v>
      </c>
      <c r="L31" s="111" t="n">
        <f aca="false">K31</f>
        <v>0.0413362401013952</v>
      </c>
    </row>
    <row r="32" customFormat="false" ht="14.25" hidden="false" customHeight="false" outlineLevel="0" collapsed="false">
      <c r="B32" s="108"/>
      <c r="C32" s="108"/>
      <c r="D32" s="109"/>
      <c r="E32" s="109"/>
      <c r="F32" s="109"/>
      <c r="G32" s="109"/>
      <c r="H32" s="112"/>
      <c r="I32" s="113"/>
      <c r="J32" s="113"/>
      <c r="K32" s="113"/>
      <c r="L32" s="113"/>
    </row>
    <row r="33" customFormat="false" ht="14.25" hidden="false" customHeight="false" outlineLevel="0" collapsed="false">
      <c r="B33" s="108"/>
      <c r="C33" s="108"/>
      <c r="D33" s="109"/>
      <c r="E33" s="109"/>
      <c r="F33" s="109"/>
      <c r="G33" s="109"/>
      <c r="H33" s="112" t="n">
        <f aca="false">'ORÇ.'!I19</f>
        <v>16019.32</v>
      </c>
      <c r="I33" s="113"/>
      <c r="J33" s="113"/>
      <c r="K33" s="113" t="n">
        <f aca="false">H33/2</f>
        <v>8009.66</v>
      </c>
      <c r="L33" s="113" t="n">
        <f aca="false">K33</f>
        <v>8009.66</v>
      </c>
    </row>
    <row r="34" customFormat="false" ht="14.25" hidden="false" customHeight="false" outlineLevel="0" collapsed="false">
      <c r="B34" s="108" t="n">
        <v>9</v>
      </c>
      <c r="C34" s="108"/>
      <c r="D34" s="109" t="str">
        <f aca="false">'ORÇ.'!D20</f>
        <v>REVESTIMENTOS</v>
      </c>
      <c r="E34" s="109"/>
      <c r="F34" s="109"/>
      <c r="G34" s="109"/>
      <c r="H34" s="110" t="n">
        <f aca="false">'ORÇ.'!J20</f>
        <v>0.272414856761784</v>
      </c>
      <c r="I34" s="111"/>
      <c r="J34" s="111"/>
      <c r="K34" s="111"/>
      <c r="L34" s="111" t="n">
        <f aca="false">H34</f>
        <v>0.272414856761784</v>
      </c>
    </row>
    <row r="35" customFormat="false" ht="14.25" hidden="false" customHeight="false" outlineLevel="0" collapsed="false">
      <c r="B35" s="108"/>
      <c r="C35" s="108"/>
      <c r="D35" s="109"/>
      <c r="E35" s="109"/>
      <c r="F35" s="109"/>
      <c r="G35" s="109"/>
      <c r="H35" s="112"/>
      <c r="I35" s="113"/>
      <c r="J35" s="113"/>
      <c r="K35" s="113"/>
      <c r="L35" s="113"/>
    </row>
    <row r="36" customFormat="false" ht="14.25" hidden="false" customHeight="false" outlineLevel="0" collapsed="false">
      <c r="B36" s="108"/>
      <c r="C36" s="108"/>
      <c r="D36" s="109"/>
      <c r="E36" s="109"/>
      <c r="F36" s="109"/>
      <c r="G36" s="109"/>
      <c r="H36" s="112" t="n">
        <f aca="false">'ORÇ.'!I20</f>
        <v>52785.41</v>
      </c>
      <c r="I36" s="113"/>
      <c r="J36" s="113"/>
      <c r="K36" s="113"/>
      <c r="L36" s="113" t="n">
        <f aca="false">H36</f>
        <v>52785.41</v>
      </c>
    </row>
    <row r="37" customFormat="false" ht="14.25" hidden="false" customHeight="false" outlineLevel="0" collapsed="false">
      <c r="B37" s="108" t="n">
        <v>10</v>
      </c>
      <c r="C37" s="108"/>
      <c r="D37" s="109" t="str">
        <f aca="false">'ORÇ.'!D21</f>
        <v>LIMPEZA FINAL</v>
      </c>
      <c r="E37" s="109"/>
      <c r="F37" s="109"/>
      <c r="G37" s="109"/>
      <c r="H37" s="110" t="n">
        <f aca="false">'ORÇ.'!J21</f>
        <v>0.00582607686379523</v>
      </c>
      <c r="I37" s="111"/>
      <c r="J37" s="111"/>
      <c r="K37" s="111"/>
      <c r="L37" s="111" t="n">
        <f aca="false">H37</f>
        <v>0.00582607686379523</v>
      </c>
    </row>
    <row r="38" customFormat="false" ht="14.25" hidden="false" customHeight="false" outlineLevel="0" collapsed="false">
      <c r="B38" s="108"/>
      <c r="C38" s="108"/>
      <c r="D38" s="109"/>
      <c r="E38" s="109"/>
      <c r="F38" s="109"/>
      <c r="G38" s="109"/>
      <c r="H38" s="112"/>
      <c r="I38" s="113"/>
      <c r="J38" s="113"/>
      <c r="K38" s="113"/>
      <c r="L38" s="113"/>
    </row>
    <row r="39" customFormat="false" ht="14.25" hidden="false" customHeight="false" outlineLevel="0" collapsed="false">
      <c r="B39" s="108"/>
      <c r="C39" s="108"/>
      <c r="D39" s="109"/>
      <c r="E39" s="109"/>
      <c r="F39" s="109"/>
      <c r="G39" s="109"/>
      <c r="H39" s="112" t="n">
        <f aca="false">'ORÇ.'!I21</f>
        <v>1128.91</v>
      </c>
      <c r="I39" s="113"/>
      <c r="J39" s="113"/>
      <c r="K39" s="113"/>
      <c r="L39" s="113" t="n">
        <f aca="false">H39</f>
        <v>1128.91</v>
      </c>
    </row>
    <row r="40" customFormat="false" ht="15" hidden="false" customHeight="false" outlineLevel="0" collapsed="false">
      <c r="B40" s="115"/>
      <c r="C40" s="115"/>
      <c r="D40" s="116"/>
      <c r="E40" s="116"/>
      <c r="F40" s="116"/>
      <c r="G40" s="116"/>
      <c r="H40" s="117"/>
      <c r="I40" s="117"/>
      <c r="J40" s="117"/>
      <c r="K40" s="117"/>
      <c r="L40" s="117"/>
    </row>
    <row r="41" customFormat="false" ht="14.25" hidden="false" customHeight="false" outlineLevel="0" collapsed="false">
      <c r="B41" s="118" t="s">
        <v>296</v>
      </c>
      <c r="C41" s="118"/>
      <c r="D41" s="118"/>
      <c r="E41" s="118"/>
      <c r="F41" s="118"/>
      <c r="G41" s="118"/>
      <c r="H41" s="119" t="n">
        <f aca="false">H37+H34+H31+H28+H25+H22+H19+H16+H13+H10</f>
        <v>1</v>
      </c>
      <c r="I41" s="120" t="n">
        <f aca="false">I12+I15+I18+I21+I24+I27+I30+I33+I36+I39</f>
        <v>32696.32</v>
      </c>
      <c r="J41" s="120" t="n">
        <f aca="false">J12+J15+J18+J21+J24+J27+J30+J33+J36+J39</f>
        <v>44048.6</v>
      </c>
      <c r="K41" s="120" t="n">
        <f aca="false">K12+K15+K18+K21+K24+K27+K30+K33+K36+K39</f>
        <v>55099.57</v>
      </c>
      <c r="L41" s="120" t="n">
        <f aca="false">L12+L15+L18+L21+L24+L27+L30+L33+L36+L39</f>
        <v>61923.98</v>
      </c>
    </row>
    <row r="42" customFormat="false" ht="14.25" hidden="false" customHeight="false" outlineLevel="0" collapsed="false">
      <c r="B42" s="118"/>
      <c r="C42" s="118"/>
      <c r="D42" s="118"/>
      <c r="E42" s="118"/>
      <c r="F42" s="118"/>
      <c r="G42" s="118"/>
      <c r="H42" s="121" t="n">
        <f aca="false">H39+H36+H33+H30+H27+H24+H21+H18+H15+H12</f>
        <v>193768.47</v>
      </c>
      <c r="I42" s="120"/>
      <c r="J42" s="120"/>
      <c r="K42" s="120"/>
      <c r="L42" s="120"/>
    </row>
    <row r="43" customFormat="false" ht="14.25" hidden="false" customHeight="false" outlineLevel="0" collapsed="false">
      <c r="B43" s="122" t="s">
        <v>297</v>
      </c>
      <c r="C43" s="122"/>
      <c r="D43" s="122"/>
      <c r="E43" s="122"/>
      <c r="F43" s="122"/>
      <c r="G43" s="122"/>
      <c r="H43" s="121"/>
      <c r="I43" s="123" t="n">
        <f aca="false">I44/$H$42</f>
        <v>0.168739114263533</v>
      </c>
      <c r="J43" s="123" t="n">
        <f aca="false">J44/$H$42</f>
        <v>0.396065056404688</v>
      </c>
      <c r="K43" s="123" t="n">
        <f aca="false">K44/$H$42</f>
        <v>0.680422826273026</v>
      </c>
      <c r="L43" s="123" t="n">
        <f aca="false">L44/$H$42</f>
        <v>1</v>
      </c>
    </row>
    <row r="44" customFormat="false" ht="14.25" hidden="false" customHeight="false" outlineLevel="0" collapsed="false">
      <c r="B44" s="122"/>
      <c r="C44" s="122"/>
      <c r="D44" s="122"/>
      <c r="E44" s="122"/>
      <c r="F44" s="122"/>
      <c r="G44" s="122"/>
      <c r="H44" s="121"/>
      <c r="I44" s="124" t="n">
        <f aca="false">I41</f>
        <v>32696.32</v>
      </c>
      <c r="J44" s="124" t="n">
        <f aca="false">I44+J41</f>
        <v>76744.92</v>
      </c>
      <c r="K44" s="124" t="n">
        <f aca="false">J44+K41</f>
        <v>131844.49</v>
      </c>
      <c r="L44" s="124" t="n">
        <f aca="false">K44+L41</f>
        <v>193768.47</v>
      </c>
    </row>
    <row r="45" customFormat="false" ht="15" hidden="false" customHeight="false" outlineLevel="0" collapsed="false">
      <c r="B45" s="125" t="str">
        <f aca="false">'ORÇ.'!B137</f>
        <v>Espírito Santo do Pinhal/SP </v>
      </c>
      <c r="C45" s="125"/>
      <c r="D45" s="125"/>
      <c r="E45" s="125"/>
      <c r="F45" s="125"/>
      <c r="G45" s="125"/>
      <c r="H45" s="125"/>
      <c r="I45" s="125"/>
      <c r="J45" s="125"/>
      <c r="K45" s="125"/>
    </row>
    <row r="46" customFormat="false" ht="15" hidden="false" customHeight="false" outlineLevel="0" collapsed="false">
      <c r="B46" s="126" t="n">
        <f aca="true">TODAY()</f>
        <v>46127</v>
      </c>
      <c r="C46" s="126"/>
      <c r="D46" s="126"/>
      <c r="E46" s="126"/>
      <c r="F46" s="126"/>
      <c r="G46" s="126"/>
    </row>
    <row r="47" customFormat="false" ht="14.25" hidden="false" customHeight="false" outlineLevel="0" collapsed="false">
      <c r="F47" s="127"/>
      <c r="G47" s="127"/>
      <c r="H47" s="128"/>
      <c r="I47" s="128"/>
      <c r="J47" s="128"/>
      <c r="K47" s="128"/>
      <c r="L47" s="129"/>
    </row>
    <row r="48" customFormat="false" ht="14.25" hidden="false" customHeight="false" outlineLevel="0" collapsed="false">
      <c r="B48" s="127"/>
      <c r="C48" s="127"/>
      <c r="D48" s="127"/>
      <c r="E48" s="127"/>
      <c r="F48" s="127"/>
      <c r="G48" s="127"/>
      <c r="H48" s="130"/>
      <c r="I48" s="130"/>
    </row>
    <row r="49" customFormat="false" ht="15" hidden="false" customHeight="false" outlineLevel="0" collapsed="false">
      <c r="B49" s="127"/>
      <c r="C49" s="127"/>
      <c r="D49" s="127"/>
      <c r="E49" s="127"/>
      <c r="F49" s="127"/>
      <c r="G49" s="127"/>
      <c r="H49" s="131"/>
      <c r="I49" s="131"/>
      <c r="J49" s="5"/>
      <c r="K49" s="132"/>
      <c r="L49" s="133"/>
    </row>
    <row r="50" customFormat="false" ht="14.25" hidden="false" customHeight="false" outlineLevel="0" collapsed="false">
      <c r="B50" s="134"/>
      <c r="C50" s="134"/>
      <c r="D50" s="134"/>
      <c r="E50" s="134"/>
      <c r="F50" s="134"/>
      <c r="G50" s="134"/>
      <c r="H50" s="135"/>
      <c r="I50" s="135"/>
      <c r="J50" s="129"/>
      <c r="K50" s="129" t="s">
        <v>288</v>
      </c>
      <c r="L50" s="129"/>
    </row>
    <row r="51" customFormat="false" ht="14.25" hidden="false" customHeight="false" outlineLevel="0" collapsed="false">
      <c r="B51" s="134"/>
      <c r="C51" s="134"/>
      <c r="D51" s="134"/>
      <c r="E51" s="134"/>
      <c r="F51" s="134"/>
      <c r="G51" s="134"/>
      <c r="H51" s="2"/>
      <c r="I51" s="2"/>
      <c r="J51" s="129"/>
      <c r="K51" s="129" t="s">
        <v>289</v>
      </c>
      <c r="L51" s="129"/>
    </row>
    <row r="52" customFormat="false" ht="14.25" hidden="false" customHeight="false" outlineLevel="0" collapsed="false">
      <c r="J52" s="100"/>
      <c r="K52" s="100"/>
      <c r="L52" s="100"/>
    </row>
    <row r="53" customFormat="false" ht="14.25" hidden="false" customHeight="false" outlineLevel="0" collapsed="false">
      <c r="J53" s="100"/>
      <c r="K53" s="100"/>
      <c r="L53" s="10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7">
    <mergeCell ref="B1:D4"/>
    <mergeCell ref="E1:L1"/>
    <mergeCell ref="E2:L2"/>
    <mergeCell ref="E3:L3"/>
    <mergeCell ref="E4:L4"/>
    <mergeCell ref="B5:K5"/>
    <mergeCell ref="B6:C6"/>
    <mergeCell ref="D6:G6"/>
    <mergeCell ref="B7:C7"/>
    <mergeCell ref="D7:G7"/>
    <mergeCell ref="K7:L7"/>
    <mergeCell ref="B8:K8"/>
    <mergeCell ref="B9:C9"/>
    <mergeCell ref="D9:G9"/>
    <mergeCell ref="B10:C12"/>
    <mergeCell ref="D10:G12"/>
    <mergeCell ref="B13:C15"/>
    <mergeCell ref="D13:G15"/>
    <mergeCell ref="B16:C18"/>
    <mergeCell ref="D16:G18"/>
    <mergeCell ref="B19:C21"/>
    <mergeCell ref="D19:G21"/>
    <mergeCell ref="B22:C24"/>
    <mergeCell ref="D22:G24"/>
    <mergeCell ref="B25:C27"/>
    <mergeCell ref="D25:G27"/>
    <mergeCell ref="B28:C30"/>
    <mergeCell ref="D28:G30"/>
    <mergeCell ref="B31:C33"/>
    <mergeCell ref="D31:G33"/>
    <mergeCell ref="B34:C36"/>
    <mergeCell ref="D34:G36"/>
    <mergeCell ref="B37:C39"/>
    <mergeCell ref="D37:G39"/>
    <mergeCell ref="B41:G42"/>
    <mergeCell ref="I41:I42"/>
    <mergeCell ref="J41:J42"/>
    <mergeCell ref="K41:K42"/>
    <mergeCell ref="L41:L42"/>
    <mergeCell ref="H42:H44"/>
    <mergeCell ref="B43:G44"/>
    <mergeCell ref="B46:G46"/>
    <mergeCell ref="H47:K47"/>
    <mergeCell ref="K50:L50"/>
    <mergeCell ref="K51:L51"/>
    <mergeCell ref="J52:L52"/>
    <mergeCell ref="J53:L53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2245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2021-11-17T15:03:03Z</dcterms:created>
  <dc:creator>Fernando Donisete Dias Junior</dc:creator>
  <dc:description/>
  <dc:language>pt-BR</dc:language>
  <cp:lastModifiedBy/>
  <cp:lastPrinted>2026-02-20T08:31:37Z</cp:lastPrinted>
  <dcterms:modified xsi:type="dcterms:W3CDTF">2026-04-15T10:56:03Z</dcterms:modified>
  <cp:revision>308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